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069\OneDrive - ФГОБУ ВО Финансовый университет при Правительстве РФ\эконометрика\"/>
    </mc:Choice>
  </mc:AlternateContent>
  <bookViews>
    <workbookView xWindow="0" yWindow="2985" windowWidth="28800" windowHeight="13920" tabRatio="601" activeTab="8"/>
  </bookViews>
  <sheets>
    <sheet name="Лист1 сем3+4" sheetId="1" r:id="rId1"/>
    <sheet name="графики сем3 " sheetId="2" r:id="rId2"/>
    <sheet name="line() сем5" sheetId="3" r:id="rId3"/>
    <sheet name="сем 8" sheetId="4" r:id="rId4"/>
    <sheet name="сем 10" sheetId="5" r:id="rId5"/>
    <sheet name="сем12" sheetId="6" r:id="rId6"/>
    <sheet name="дз11" sheetId="7" r:id="rId7"/>
    <sheet name="сем13+дз12" sheetId="8" r:id="rId8"/>
    <sheet name="сем14" sheetId="9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9" l="1"/>
  <c r="G19" i="9"/>
  <c r="G21" i="9"/>
  <c r="H10" i="9"/>
  <c r="H12" i="9" s="1"/>
  <c r="H11" i="9" l="1"/>
  <c r="AF10" i="8"/>
  <c r="AF11" i="8" s="1"/>
  <c r="T10" i="8"/>
  <c r="T12" i="8" s="1"/>
  <c r="H10" i="8"/>
  <c r="H12" i="8" s="1"/>
  <c r="AF12" i="8" l="1"/>
  <c r="H11" i="8"/>
  <c r="T11" i="8"/>
  <c r="A19" i="7" a="1"/>
  <c r="A19" i="7" s="1"/>
  <c r="B19" i="7" l="1"/>
  <c r="D23" i="7"/>
  <c r="D22" i="7"/>
  <c r="D21" i="7"/>
  <c r="D20" i="7"/>
  <c r="D19" i="7"/>
  <c r="C23" i="7"/>
  <c r="C22" i="7"/>
  <c r="C21" i="7"/>
  <c r="C20" i="7"/>
  <c r="C19" i="7"/>
  <c r="B23" i="7"/>
  <c r="B22" i="7"/>
  <c r="B21" i="7"/>
  <c r="B20" i="7"/>
  <c r="A23" i="7"/>
  <c r="A22" i="7"/>
  <c r="A21" i="7"/>
  <c r="A20" i="7"/>
  <c r="N63" i="7" l="1" a="1"/>
  <c r="N63" i="7" s="1"/>
  <c r="O65" i="7" l="1"/>
  <c r="N64" i="7"/>
  <c r="N65" i="7"/>
  <c r="P63" i="7"/>
  <c r="P64" i="7"/>
  <c r="O63" i="7"/>
  <c r="P65" i="7"/>
  <c r="O64" i="7"/>
  <c r="N53" i="7" l="1" a="1"/>
  <c r="O53" i="7" s="1"/>
  <c r="N17" i="7" a="1"/>
  <c r="N17" i="7" s="1"/>
  <c r="R5" i="1"/>
  <c r="Z55" i="7" l="1"/>
  <c r="V55" i="7"/>
  <c r="R55" i="7"/>
  <c r="N55" i="7"/>
  <c r="X54" i="7"/>
  <c r="T54" i="7"/>
  <c r="P54" i="7"/>
  <c r="Z53" i="7"/>
  <c r="V53" i="7"/>
  <c r="R53" i="7"/>
  <c r="N53" i="7"/>
  <c r="Y55" i="7"/>
  <c r="U55" i="7"/>
  <c r="Q55" i="7"/>
  <c r="AA54" i="7"/>
  <c r="W54" i="7"/>
  <c r="S54" i="7"/>
  <c r="O54" i="7"/>
  <c r="Y53" i="7"/>
  <c r="U53" i="7"/>
  <c r="Q53" i="7"/>
  <c r="X55" i="7"/>
  <c r="T55" i="7"/>
  <c r="P55" i="7"/>
  <c r="Z54" i="7"/>
  <c r="V54" i="7"/>
  <c r="R54" i="7"/>
  <c r="N54" i="7"/>
  <c r="X53" i="7"/>
  <c r="T53" i="7"/>
  <c r="P53" i="7"/>
  <c r="AA55" i="7"/>
  <c r="W55" i="7"/>
  <c r="S55" i="7"/>
  <c r="O55" i="7"/>
  <c r="Y54" i="7"/>
  <c r="U54" i="7"/>
  <c r="Q54" i="7"/>
  <c r="AA53" i="7"/>
  <c r="W53" i="7"/>
  <c r="S53" i="7"/>
  <c r="W20" i="7"/>
  <c r="O20" i="7"/>
  <c r="U19" i="7"/>
  <c r="AA18" i="7"/>
  <c r="S18" i="7"/>
  <c r="Y17" i="7"/>
  <c r="U17" i="7"/>
  <c r="V20" i="7"/>
  <c r="N20" i="7"/>
  <c r="T19" i="7"/>
  <c r="Z18" i="7"/>
  <c r="R18" i="7"/>
  <c r="X17" i="7"/>
  <c r="T17" i="7"/>
  <c r="Y20" i="7"/>
  <c r="U20" i="7"/>
  <c r="Q20" i="7"/>
  <c r="AA19" i="7"/>
  <c r="W19" i="7"/>
  <c r="S19" i="7"/>
  <c r="O19" i="7"/>
  <c r="Y18" i="7"/>
  <c r="U18" i="7"/>
  <c r="Q18" i="7"/>
  <c r="AA17" i="7"/>
  <c r="W17" i="7"/>
  <c r="S17" i="7"/>
  <c r="O17" i="7"/>
  <c r="AA20" i="7"/>
  <c r="S20" i="7"/>
  <c r="Y19" i="7"/>
  <c r="Q19" i="7"/>
  <c r="W18" i="7"/>
  <c r="O18" i="7"/>
  <c r="Q17" i="7"/>
  <c r="Z20" i="7"/>
  <c r="R20" i="7"/>
  <c r="X19" i="7"/>
  <c r="P19" i="7"/>
  <c r="V18" i="7"/>
  <c r="N18" i="7"/>
  <c r="P17" i="7"/>
  <c r="X20" i="7"/>
  <c r="T20" i="7"/>
  <c r="P20" i="7"/>
  <c r="Z19" i="7"/>
  <c r="V19" i="7"/>
  <c r="R19" i="7"/>
  <c r="N19" i="7"/>
  <c r="X18" i="7"/>
  <c r="T18" i="7"/>
  <c r="P18" i="7"/>
  <c r="Z17" i="7"/>
  <c r="V17" i="7"/>
  <c r="R17" i="7"/>
  <c r="A55" i="7" a="1"/>
  <c r="C59" i="7" s="1"/>
  <c r="N69" i="7"/>
  <c r="J40" i="7"/>
  <c r="I40" i="7"/>
  <c r="H40" i="7"/>
  <c r="Q68" i="7" s="1" a="1"/>
  <c r="N34" i="7"/>
  <c r="K4" i="7"/>
  <c r="J4" i="7"/>
  <c r="Q68" i="7" l="1"/>
  <c r="S68" i="7"/>
  <c r="R68" i="7"/>
  <c r="N22" i="7" a="1"/>
  <c r="N22" i="7" s="1"/>
  <c r="P24" i="7"/>
  <c r="O22" i="7"/>
  <c r="N24" i="7"/>
  <c r="O24" i="7"/>
  <c r="A56" i="7"/>
  <c r="B57" i="7"/>
  <c r="C58" i="7"/>
  <c r="A55" i="7"/>
  <c r="B56" i="7"/>
  <c r="C57" i="7"/>
  <c r="A59" i="7"/>
  <c r="B55" i="7"/>
  <c r="C56" i="7"/>
  <c r="A58" i="7"/>
  <c r="B59" i="7"/>
  <c r="C55" i="7"/>
  <c r="H41" i="7" s="1"/>
  <c r="A57" i="7"/>
  <c r="B58" i="7"/>
  <c r="N34" i="6"/>
  <c r="K4" i="6"/>
  <c r="N22" i="6" a="1"/>
  <c r="O22" i="6" s="1"/>
  <c r="J4" i="6"/>
  <c r="I4" i="6"/>
  <c r="A19" i="6" a="1"/>
  <c r="D23" i="6" s="1"/>
  <c r="N25" i="7" l="1"/>
  <c r="Q23" i="7"/>
  <c r="P22" i="7"/>
  <c r="O23" i="7"/>
  <c r="O25" i="7"/>
  <c r="Q25" i="7"/>
  <c r="Q22" i="7"/>
  <c r="N27" i="7" s="1" a="1"/>
  <c r="P25" i="7"/>
  <c r="Q24" i="7"/>
  <c r="P23" i="7"/>
  <c r="N23" i="7"/>
  <c r="Q69" i="7" a="1"/>
  <c r="Q69" i="7" s="1"/>
  <c r="H43" i="7" s="1"/>
  <c r="H5" i="7"/>
  <c r="P24" i="6"/>
  <c r="N23" i="6"/>
  <c r="N25" i="6"/>
  <c r="P23" i="6"/>
  <c r="N22" i="6"/>
  <c r="Q24" i="6"/>
  <c r="O23" i="6"/>
  <c r="Q25" i="6"/>
  <c r="O24" i="6"/>
  <c r="Q22" i="6"/>
  <c r="P25" i="6"/>
  <c r="N24" i="6"/>
  <c r="P22" i="6"/>
  <c r="O25" i="6"/>
  <c r="Q23" i="6"/>
  <c r="B19" i="6"/>
  <c r="D20" i="6"/>
  <c r="B22" i="6"/>
  <c r="C19" i="6"/>
  <c r="A21" i="6"/>
  <c r="C22" i="6"/>
  <c r="D22" i="6"/>
  <c r="A23" i="6"/>
  <c r="B23" i="6"/>
  <c r="D19" i="6"/>
  <c r="H5" i="6" s="1"/>
  <c r="B21" i="6"/>
  <c r="A20" i="6"/>
  <c r="C21" i="6"/>
  <c r="B20" i="6"/>
  <c r="D21" i="6"/>
  <c r="A19" i="6"/>
  <c r="C20" i="6"/>
  <c r="A22" i="6"/>
  <c r="C23" i="6"/>
  <c r="J29" i="5"/>
  <c r="P30" i="7" l="1"/>
  <c r="P29" i="7"/>
  <c r="P28" i="7"/>
  <c r="P27" i="7"/>
  <c r="O30" i="7"/>
  <c r="O29" i="7"/>
  <c r="O28" i="7"/>
  <c r="O27" i="7"/>
  <c r="N30" i="7"/>
  <c r="N29" i="7"/>
  <c r="N28" i="7"/>
  <c r="N27" i="7"/>
  <c r="Q30" i="7"/>
  <c r="Q29" i="7"/>
  <c r="Q28" i="7"/>
  <c r="Q27" i="7"/>
  <c r="N27" i="6" a="1"/>
  <c r="Q32" i="7" l="1" a="1"/>
  <c r="O28" i="6"/>
  <c r="N28" i="6"/>
  <c r="P30" i="6"/>
  <c r="Q28" i="6"/>
  <c r="N27" i="6"/>
  <c r="Q30" i="6"/>
  <c r="N29" i="6"/>
  <c r="O27" i="6"/>
  <c r="Q29" i="6"/>
  <c r="O29" i="6"/>
  <c r="P27" i="6"/>
  <c r="N30" i="6"/>
  <c r="P29" i="6"/>
  <c r="Q27" i="6"/>
  <c r="O30" i="6"/>
  <c r="P28" i="6"/>
  <c r="N3" i="5"/>
  <c r="N4" i="5"/>
  <c r="N5" i="5"/>
  <c r="O5" i="5" s="1"/>
  <c r="N6" i="5"/>
  <c r="N7" i="5"/>
  <c r="N8" i="5"/>
  <c r="N9" i="5"/>
  <c r="N10" i="5"/>
  <c r="N11" i="5"/>
  <c r="N12" i="5"/>
  <c r="N13" i="5"/>
  <c r="N14" i="5"/>
  <c r="N15" i="5"/>
  <c r="N2" i="5"/>
  <c r="G19" i="3" a="1"/>
  <c r="H20" i="3" s="1"/>
  <c r="C5" i="1"/>
  <c r="Q5" i="1"/>
  <c r="A19" i="5" a="1"/>
  <c r="B23" i="5" s="1"/>
  <c r="O15" i="5" l="1"/>
  <c r="O11" i="5"/>
  <c r="O7" i="5"/>
  <c r="O4" i="5"/>
  <c r="O14" i="5"/>
  <c r="O6" i="5"/>
  <c r="R32" i="7"/>
  <c r="Q32" i="7"/>
  <c r="T32" i="7"/>
  <c r="S32" i="7"/>
  <c r="O13" i="5"/>
  <c r="O9" i="5"/>
  <c r="O12" i="5"/>
  <c r="O8" i="5"/>
  <c r="Q32" i="6" a="1"/>
  <c r="O3" i="5"/>
  <c r="O10" i="5"/>
  <c r="G23" i="3"/>
  <c r="I21" i="3"/>
  <c r="G20" i="3"/>
  <c r="J22" i="3"/>
  <c r="H21" i="3"/>
  <c r="J19" i="3"/>
  <c r="I22" i="3"/>
  <c r="G21" i="3"/>
  <c r="I19" i="3"/>
  <c r="J23" i="3"/>
  <c r="H22" i="3"/>
  <c r="J20" i="3"/>
  <c r="H19" i="3"/>
  <c r="I23" i="3"/>
  <c r="G22" i="3"/>
  <c r="I20" i="3"/>
  <c r="G19" i="3"/>
  <c r="H23" i="3"/>
  <c r="J21" i="3"/>
  <c r="A19" i="5"/>
  <c r="C20" i="5"/>
  <c r="A22" i="5"/>
  <c r="C23" i="5"/>
  <c r="B19" i="5"/>
  <c r="D20" i="5"/>
  <c r="B22" i="5"/>
  <c r="B30" i="5" s="1"/>
  <c r="D23" i="5"/>
  <c r="C19" i="5"/>
  <c r="A21" i="5"/>
  <c r="C22" i="5"/>
  <c r="D19" i="5"/>
  <c r="B21" i="5"/>
  <c r="D22" i="5"/>
  <c r="A20" i="5"/>
  <c r="C21" i="5"/>
  <c r="A23" i="5"/>
  <c r="B20" i="5"/>
  <c r="D21" i="5"/>
  <c r="Q19" i="4" a="1"/>
  <c r="R19" i="4" s="1"/>
  <c r="N19" i="4" a="1"/>
  <c r="N19" i="4" s="1"/>
  <c r="N22" i="4"/>
  <c r="O21" i="4" l="1"/>
  <c r="Q33" i="7"/>
  <c r="H7" i="7" s="1"/>
  <c r="O23" i="4"/>
  <c r="F3" i="5"/>
  <c r="G3" i="5" s="1"/>
  <c r="F7" i="5"/>
  <c r="F11" i="5"/>
  <c r="G11" i="5" s="1"/>
  <c r="F15" i="5"/>
  <c r="F4" i="5"/>
  <c r="G4" i="5" s="1"/>
  <c r="F8" i="5"/>
  <c r="G8" i="5" s="1"/>
  <c r="F12" i="5"/>
  <c r="G12" i="5" s="1"/>
  <c r="F16" i="5"/>
  <c r="G16" i="5" s="1"/>
  <c r="F5" i="5"/>
  <c r="G5" i="5" s="1"/>
  <c r="F9" i="5"/>
  <c r="G9" i="5" s="1"/>
  <c r="F13" i="5"/>
  <c r="F2" i="5"/>
  <c r="F6" i="5"/>
  <c r="G6" i="5" s="1"/>
  <c r="F10" i="5"/>
  <c r="G10" i="5" s="1"/>
  <c r="F14" i="5"/>
  <c r="G14" i="5" s="1"/>
  <c r="O16" i="5"/>
  <c r="J24" i="5" s="1"/>
  <c r="R32" i="6"/>
  <c r="Q32" i="6"/>
  <c r="T32" i="6"/>
  <c r="S32" i="6"/>
  <c r="N23" i="4"/>
  <c r="N21" i="4"/>
  <c r="O22" i="4"/>
  <c r="O20" i="4"/>
  <c r="Q23" i="4"/>
  <c r="Q21" i="4"/>
  <c r="Q19" i="4"/>
  <c r="R22" i="4"/>
  <c r="R20" i="4"/>
  <c r="Q22" i="4"/>
  <c r="Q20" i="4"/>
  <c r="R23" i="4"/>
  <c r="O25" i="4" s="1"/>
  <c r="O26" i="4" s="1"/>
  <c r="R21" i="4"/>
  <c r="N20" i="4"/>
  <c r="O19" i="4"/>
  <c r="R25" i="4" l="1"/>
  <c r="G13" i="5"/>
  <c r="G7" i="5"/>
  <c r="Q33" i="6"/>
  <c r="H7" i="6" s="1"/>
  <c r="G15" i="5"/>
  <c r="R3" i="4"/>
  <c r="R4" i="4"/>
  <c r="R5" i="4"/>
  <c r="R6" i="4"/>
  <c r="R7" i="4"/>
  <c r="R13" i="4"/>
  <c r="R12" i="4"/>
  <c r="R9" i="4"/>
  <c r="R11" i="4"/>
  <c r="R15" i="4"/>
  <c r="R16" i="4"/>
  <c r="R14" i="4"/>
  <c r="R8" i="4"/>
  <c r="R10" i="4"/>
  <c r="R2" i="4"/>
  <c r="K19" i="4" a="1"/>
  <c r="L19" i="4" s="1"/>
  <c r="H19" i="4" a="1"/>
  <c r="H21" i="4" s="1"/>
  <c r="L10" i="4"/>
  <c r="L4" i="4"/>
  <c r="L2" i="4"/>
  <c r="L6" i="4"/>
  <c r="L3" i="4"/>
  <c r="L5" i="4"/>
  <c r="L7" i="4"/>
  <c r="L8" i="4"/>
  <c r="L9" i="4"/>
  <c r="L16" i="4"/>
  <c r="L12" i="4"/>
  <c r="L15" i="4"/>
  <c r="L14" i="4"/>
  <c r="L11" i="4"/>
  <c r="L13" i="4"/>
  <c r="D19" i="4" a="1"/>
  <c r="D20" i="4" s="1"/>
  <c r="A19" i="4" a="1"/>
  <c r="B21" i="4" s="1"/>
  <c r="D3" i="4"/>
  <c r="D4" i="4"/>
  <c r="D5" i="4"/>
  <c r="D6" i="4"/>
  <c r="D8" i="4"/>
  <c r="D10" i="4"/>
  <c r="D7" i="4"/>
  <c r="D9" i="4"/>
  <c r="D11" i="4"/>
  <c r="D14" i="4"/>
  <c r="D15" i="4"/>
  <c r="D16" i="4"/>
  <c r="D13" i="4"/>
  <c r="D12" i="4"/>
  <c r="D2" i="4"/>
  <c r="G17" i="5" l="1"/>
  <c r="B25" i="5" s="1"/>
  <c r="H23" i="4"/>
  <c r="I20" i="4"/>
  <c r="I22" i="4"/>
  <c r="H20" i="4"/>
  <c r="H22" i="4"/>
  <c r="I19" i="4"/>
  <c r="I23" i="4"/>
  <c r="I25" i="4" s="1"/>
  <c r="I26" i="4" s="1"/>
  <c r="I21" i="4"/>
  <c r="H19" i="4"/>
  <c r="K21" i="4"/>
  <c r="K22" i="4"/>
  <c r="K19" i="4"/>
  <c r="L21" i="4"/>
  <c r="L23" i="4"/>
  <c r="L20" i="4"/>
  <c r="K23" i="4"/>
  <c r="K20" i="4"/>
  <c r="L22" i="4"/>
  <c r="D21" i="4"/>
  <c r="E22" i="4"/>
  <c r="E19" i="4"/>
  <c r="D22" i="4"/>
  <c r="D19" i="4"/>
  <c r="E21" i="4"/>
  <c r="E23" i="4"/>
  <c r="E20" i="4"/>
  <c r="D23" i="4"/>
  <c r="A21" i="4"/>
  <c r="B23" i="4"/>
  <c r="B25" i="4" s="1"/>
  <c r="B26" i="4" s="1"/>
  <c r="B20" i="4"/>
  <c r="A23" i="4"/>
  <c r="A20" i="4"/>
  <c r="B22" i="4"/>
  <c r="B19" i="4"/>
  <c r="A22" i="4"/>
  <c r="A19" i="4"/>
  <c r="L25" i="4" l="1"/>
  <c r="E25" i="4"/>
  <c r="M19" i="3" l="1" a="1"/>
  <c r="M19" i="3" s="1"/>
  <c r="A19" i="3" a="1"/>
  <c r="A19" i="3" s="1"/>
  <c r="O22" i="3" l="1"/>
  <c r="N21" i="3"/>
  <c r="M20" i="3"/>
  <c r="O23" i="3"/>
  <c r="N22" i="3"/>
  <c r="M21" i="3"/>
  <c r="O19" i="3"/>
  <c r="N23" i="3"/>
  <c r="M22" i="3"/>
  <c r="O20" i="3"/>
  <c r="N19" i="3"/>
  <c r="M23" i="3"/>
  <c r="O21" i="3"/>
  <c r="N20" i="3"/>
  <c r="D23" i="3"/>
  <c r="D22" i="3"/>
  <c r="D21" i="3"/>
  <c r="D20" i="3"/>
  <c r="D19" i="3"/>
  <c r="C23" i="3"/>
  <c r="C22" i="3"/>
  <c r="C21" i="3"/>
  <c r="C20" i="3"/>
  <c r="C19" i="3"/>
  <c r="B23" i="3"/>
  <c r="B22" i="3"/>
  <c r="B21" i="3"/>
  <c r="B20" i="3"/>
  <c r="B19" i="3"/>
  <c r="A23" i="3"/>
  <c r="A22" i="3"/>
  <c r="A21" i="3"/>
  <c r="A20" i="3"/>
  <c r="V2" i="1" l="1" a="1"/>
  <c r="V6" i="1" s="1"/>
  <c r="W6" i="1" s="1"/>
  <c r="U2" i="1" a="1"/>
  <c r="U7" i="1" s="1"/>
  <c r="V14" i="1" l="1"/>
  <c r="W14" i="1" s="1"/>
  <c r="V9" i="1"/>
  <c r="W9" i="1" s="1"/>
  <c r="V4" i="1"/>
  <c r="W4" i="1" s="1"/>
  <c r="V13" i="1"/>
  <c r="W13" i="1" s="1"/>
  <c r="V8" i="1"/>
  <c r="W8" i="1" s="1"/>
  <c r="V3" i="1"/>
  <c r="W3" i="1" s="1"/>
  <c r="V16" i="1"/>
  <c r="W16" i="1" s="1"/>
  <c r="V11" i="1"/>
  <c r="W11" i="1" s="1"/>
  <c r="V7" i="1"/>
  <c r="W7" i="1" s="1"/>
  <c r="V2" i="1"/>
  <c r="W2" i="1" s="1"/>
  <c r="V15" i="1"/>
  <c r="W15" i="1" s="1"/>
  <c r="V10" i="1"/>
  <c r="W10" i="1" s="1"/>
  <c r="V5" i="1"/>
  <c r="W5" i="1" s="1"/>
  <c r="V12" i="1"/>
  <c r="W12" i="1" s="1"/>
  <c r="U12" i="1"/>
  <c r="X12" i="1" s="1"/>
  <c r="U6" i="1"/>
  <c r="X6" i="1" s="1"/>
  <c r="U11" i="1"/>
  <c r="U5" i="1"/>
  <c r="U16" i="1"/>
  <c r="X16" i="1" s="1"/>
  <c r="U10" i="1"/>
  <c r="X10" i="1" s="1"/>
  <c r="U4" i="1"/>
  <c r="U15" i="1"/>
  <c r="U9" i="1"/>
  <c r="U3" i="1"/>
  <c r="U14" i="1"/>
  <c r="X14" i="1" s="1"/>
  <c r="U8" i="1"/>
  <c r="U2" i="1"/>
  <c r="U13" i="1"/>
  <c r="X13" i="1" s="1"/>
  <c r="D5" i="1"/>
  <c r="E5" i="1"/>
  <c r="F5" i="1"/>
  <c r="G5" i="1"/>
  <c r="H5" i="1"/>
  <c r="I5" i="1"/>
  <c r="J5" i="1"/>
  <c r="K5" i="1"/>
  <c r="L5" i="1"/>
  <c r="M5" i="1"/>
  <c r="N5" i="1"/>
  <c r="O5" i="1"/>
  <c r="P5" i="1"/>
  <c r="X11" i="1" l="1"/>
  <c r="X8" i="1"/>
  <c r="X5" i="1"/>
  <c r="X2" i="1"/>
  <c r="X9" i="1"/>
  <c r="X15" i="1"/>
  <c r="W17" i="1"/>
  <c r="X4" i="1"/>
  <c r="X3" i="1"/>
  <c r="X7" i="1"/>
  <c r="X17" i="1" l="1"/>
  <c r="W20" i="1" s="1"/>
  <c r="Y2" i="1" s="1"/>
  <c r="Y11" i="1"/>
  <c r="Z11" i="1" s="1"/>
  <c r="Y5" i="1"/>
  <c r="Z5" i="1" s="1"/>
  <c r="Y6" i="1"/>
  <c r="Z6" i="1" s="1"/>
  <c r="Y9" i="1"/>
  <c r="Z9" i="1" s="1"/>
  <c r="Y16" i="1"/>
  <c r="Z16" i="1" s="1"/>
  <c r="Y10" i="1"/>
  <c r="Z10" i="1" s="1"/>
  <c r="Y15" i="1"/>
  <c r="Z15" i="1" s="1"/>
  <c r="Y13" i="1" l="1"/>
  <c r="Z13" i="1" s="1"/>
  <c r="Y4" i="1"/>
  <c r="Z4" i="1" s="1"/>
  <c r="Y12" i="1"/>
  <c r="Z12" i="1" s="1"/>
  <c r="Y8" i="1"/>
  <c r="Z8" i="1" s="1"/>
  <c r="AC1" i="1"/>
  <c r="AC2" i="1" s="1"/>
  <c r="Y7" i="1"/>
  <c r="Z7" i="1"/>
  <c r="Y14" i="1"/>
  <c r="Z14" i="1" s="1"/>
  <c r="Y3" i="1"/>
  <c r="Z3" i="1" s="1"/>
  <c r="Z2" i="1" l="1"/>
  <c r="Z17" i="1" s="1"/>
  <c r="Z18" i="1" s="1"/>
  <c r="Y17" i="1"/>
</calcChain>
</file>

<file path=xl/sharedStrings.xml><?xml version="1.0" encoding="utf-8"?>
<sst xmlns="http://schemas.openxmlformats.org/spreadsheetml/2006/main" count="322" uniqueCount="112">
  <si>
    <t xml:space="preserve">Элементы использования валового внутреннего продукта </t>
  </si>
  <si>
    <t>(в ценах 2008 года, млрд руб.)</t>
  </si>
  <si>
    <t>расходы на конечное потребление</t>
  </si>
  <si>
    <t>некоммерческих организаций, обслуживающих домашние хозяйства</t>
  </si>
  <si>
    <t>валовое накопление основного капитала 1)</t>
  </si>
  <si>
    <t>9095,32)</t>
  </si>
  <si>
    <t>экспорт</t>
  </si>
  <si>
    <t>импорт</t>
  </si>
  <si>
    <t>Статистическое расхождение</t>
  </si>
  <si>
    <r>
      <t xml:space="preserve">Валовой внутренний продукт </t>
    </r>
    <r>
      <rPr>
        <b/>
        <sz val="11"/>
        <color theme="1"/>
        <rFont val="Times New Roman"/>
        <family val="1"/>
        <charset val="204"/>
      </rPr>
      <t>Y</t>
    </r>
  </si>
  <si>
    <r>
      <t>домашних хозяйств</t>
    </r>
    <r>
      <rPr>
        <b/>
        <sz val="11"/>
        <color theme="1"/>
        <rFont val="Times New Roman"/>
        <family val="1"/>
        <charset val="204"/>
      </rPr>
      <t xml:space="preserve"> С</t>
    </r>
  </si>
  <si>
    <r>
      <t xml:space="preserve">государственного управления </t>
    </r>
    <r>
      <rPr>
        <b/>
        <sz val="11"/>
        <color theme="1"/>
        <rFont val="Times New Roman"/>
        <family val="1"/>
        <charset val="204"/>
      </rPr>
      <t>G</t>
    </r>
  </si>
  <si>
    <r>
      <t>валовое накопление</t>
    </r>
    <r>
      <rPr>
        <b/>
        <sz val="11"/>
        <color theme="1"/>
        <rFont val="Times New Roman"/>
        <family val="1"/>
        <charset val="204"/>
      </rPr>
      <t xml:space="preserve"> I</t>
    </r>
  </si>
  <si>
    <r>
      <t xml:space="preserve">изменение ввп </t>
    </r>
    <r>
      <rPr>
        <b/>
        <sz val="11"/>
        <color theme="1"/>
        <rFont val="Times New Roman"/>
        <family val="1"/>
        <charset val="204"/>
      </rPr>
      <t>del y</t>
    </r>
  </si>
  <si>
    <t>Gt</t>
  </si>
  <si>
    <t>t</t>
  </si>
  <si>
    <t>Gt-1</t>
  </si>
  <si>
    <t xml:space="preserve"> Gt-1^2</t>
  </si>
  <si>
    <t>Gt*Gt-1</t>
  </si>
  <si>
    <t>R</t>
  </si>
  <si>
    <t>S</t>
  </si>
  <si>
    <t>сумма</t>
  </si>
  <si>
    <t>g=s/r=r^-1 *s=</t>
  </si>
  <si>
    <t>оценка темпа роста гос-ных расходов россии</t>
  </si>
  <si>
    <t>величина 1,008 означает , что в России каждый год гос-ные расходы в среднем возрастают на 0,8%</t>
  </si>
  <si>
    <t>wt</t>
  </si>
  <si>
    <t>w^2t</t>
  </si>
  <si>
    <t>sigma</t>
  </si>
  <si>
    <t>видим, что оценки принимают хаотично значения разных знаков</t>
  </si>
  <si>
    <t>прогноз</t>
  </si>
  <si>
    <t>оценка ошибки</t>
  </si>
  <si>
    <t>Cr_t</t>
  </si>
  <si>
    <t>C_t</t>
  </si>
  <si>
    <t>Y_t-1</t>
  </si>
  <si>
    <t>San_t</t>
  </si>
  <si>
    <t>а2</t>
  </si>
  <si>
    <t>а1</t>
  </si>
  <si>
    <t>а0</t>
  </si>
  <si>
    <t>I</t>
  </si>
  <si>
    <t>G_t-1</t>
  </si>
  <si>
    <t>G_t</t>
  </si>
  <si>
    <t>delta Y_t</t>
  </si>
  <si>
    <t>b3</t>
  </si>
  <si>
    <t>b2</t>
  </si>
  <si>
    <t>b1</t>
  </si>
  <si>
    <t>а3</t>
  </si>
  <si>
    <t>g3</t>
  </si>
  <si>
    <t>g2</t>
  </si>
  <si>
    <t>g1</t>
  </si>
  <si>
    <t>b0</t>
  </si>
  <si>
    <t>z= |Y_t-1|</t>
  </si>
  <si>
    <t>= ESS_1</t>
  </si>
  <si>
    <t>= m_1 (число степеней свободы)</t>
  </si>
  <si>
    <t>= ESS_2</t>
  </si>
  <si>
    <t xml:space="preserve">= m_1 </t>
  </si>
  <si>
    <t>GQ=</t>
  </si>
  <si>
    <t>1/GQ=</t>
  </si>
  <si>
    <t>alfa=</t>
  </si>
  <si>
    <t>F_крит=</t>
  </si>
  <si>
    <t>при справедливой гипотезе H_0 ни величина GQ &amp; 1/GQ  не превосходят величины F_крит
в нашем случае не выполняется 2 нер-во , поэтому гипотезу 1 мы отвергаем
в модели С-Х случ. Возмущ. Гетероскедастично и с ростом знач. Объясняющей переменной увеличивается и дисперсия случайного возмущения.</t>
  </si>
  <si>
    <t>z= |delta Y_t|</t>
  </si>
  <si>
    <t>z= |G_t-1|</t>
  </si>
  <si>
    <t>g0</t>
  </si>
  <si>
    <t>в протоколе оценивания модели
величина сумма кв остатков выделена желтым</t>
  </si>
  <si>
    <t>DW=</t>
  </si>
  <si>
    <r>
      <t>u</t>
    </r>
    <r>
      <rPr>
        <vertAlign val="subscript"/>
        <sz val="11"/>
        <color theme="1"/>
        <rFont val="Times New Roman"/>
        <family val="1"/>
        <charset val="204"/>
      </rPr>
      <t>t</t>
    </r>
  </si>
  <si>
    <r>
      <t>(u</t>
    </r>
    <r>
      <rPr>
        <vertAlign val="subscript"/>
        <sz val="11"/>
        <color theme="1"/>
        <rFont val="Times New Roman"/>
        <family val="1"/>
        <charset val="204"/>
      </rPr>
      <t>t+1</t>
    </r>
    <r>
      <rPr>
        <sz val="11"/>
        <color theme="1"/>
        <rFont val="Times New Roman"/>
        <family val="1"/>
        <charset val="204"/>
      </rPr>
      <t>-u</t>
    </r>
    <r>
      <rPr>
        <vertAlign val="subscript"/>
        <sz val="11"/>
        <color theme="1"/>
        <rFont val="Times New Roman"/>
        <family val="1"/>
        <charset val="204"/>
      </rPr>
      <t>t</t>
    </r>
    <r>
      <rPr>
        <sz val="11"/>
        <color theme="1"/>
        <rFont val="Times New Roman"/>
        <family val="1"/>
        <charset val="204"/>
      </rPr>
      <t>)</t>
    </r>
    <r>
      <rPr>
        <vertAlign val="superscript"/>
        <sz val="11"/>
        <color theme="1"/>
        <rFont val="Times New Roman"/>
        <family val="1"/>
        <charset val="204"/>
      </rPr>
      <t>2</t>
    </r>
  </si>
  <si>
    <t>sum=</t>
  </si>
  <si>
    <t>n=15
k=3</t>
  </si>
  <si>
    <t>d_L=0,82
d_U=1,75</t>
  </si>
  <si>
    <t>наша стат-ка оказалась между дл и ду = в инт неопр 
сл не можем ни принять ни отвергнуть нашу гипотезу</t>
  </si>
  <si>
    <t>n=14
k=3</t>
  </si>
  <si>
    <t>d_L=0,77
d_U=1,78</t>
  </si>
  <si>
    <t>наша стат-ка оказалась между до дл и ду 
сл мы отвергаем H0 в пользу H1</t>
  </si>
  <si>
    <t>статистика F-теста</t>
  </si>
  <si>
    <r>
      <t>R</t>
    </r>
    <r>
      <rPr>
        <vertAlign val="super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>(коэф детеминации)=</t>
    </r>
  </si>
  <si>
    <r>
      <t>F</t>
    </r>
    <r>
      <rPr>
        <vertAlign val="subscript"/>
        <sz val="11"/>
        <color theme="1"/>
        <rFont val="Times New Roman"/>
        <family val="1"/>
        <charset val="204"/>
      </rPr>
      <t>крит</t>
    </r>
    <r>
      <rPr>
        <sz val="11"/>
        <color theme="1"/>
        <rFont val="Times New Roman"/>
        <family val="1"/>
        <charset val="204"/>
      </rPr>
      <t>=</t>
    </r>
  </si>
  <si>
    <t>n-k+1=</t>
  </si>
  <si>
    <r>
      <t>F&gt;F</t>
    </r>
    <r>
      <rPr>
        <vertAlign val="subscript"/>
        <sz val="11"/>
        <color theme="1"/>
        <rFont val="Times New Roman"/>
        <family val="1"/>
        <charset val="204"/>
      </rPr>
      <t>крит</t>
    </r>
    <r>
      <rPr>
        <sz val="11"/>
        <color theme="1"/>
        <rFont val="Times New Roman"/>
        <family val="1"/>
        <charset val="204"/>
      </rPr>
      <t xml:space="preserve"> сл отвергаем H</t>
    </r>
    <r>
      <rPr>
        <vertAlign val="subscript"/>
        <sz val="11"/>
        <color theme="1"/>
        <rFont val="Times New Roman"/>
        <family val="1"/>
        <charset val="204"/>
      </rPr>
      <t>0</t>
    </r>
  </si>
  <si>
    <r>
      <t>F&lt;F</t>
    </r>
    <r>
      <rPr>
        <vertAlign val="subscript"/>
        <sz val="11"/>
        <color theme="1"/>
        <rFont val="Times New Roman"/>
        <family val="1"/>
        <charset val="204"/>
      </rPr>
      <t>крит</t>
    </r>
    <r>
      <rPr>
        <sz val="11"/>
        <color theme="1"/>
        <rFont val="Times New Roman"/>
        <family val="1"/>
        <charset val="204"/>
      </rPr>
      <t xml:space="preserve"> сл принимаем H</t>
    </r>
    <r>
      <rPr>
        <vertAlign val="subscript"/>
        <sz val="11"/>
        <color theme="1"/>
        <rFont val="Times New Roman"/>
        <family val="1"/>
        <charset val="204"/>
      </rPr>
      <t>0</t>
    </r>
  </si>
  <si>
    <r>
      <t>Y</t>
    </r>
    <r>
      <rPr>
        <vertAlign val="subscript"/>
        <sz val="11"/>
        <color theme="1"/>
        <rFont val="Times New Roman"/>
        <family val="1"/>
        <charset val="204"/>
      </rPr>
      <t>2017</t>
    </r>
    <r>
      <rPr>
        <sz val="11"/>
        <color theme="1"/>
        <rFont val="Times New Roman"/>
        <family val="1"/>
        <charset val="204"/>
      </rPr>
      <t>=</t>
    </r>
  </si>
  <si>
    <r>
      <t>Cr</t>
    </r>
    <r>
      <rPr>
        <vertAlign val="subscript"/>
        <sz val="11"/>
        <color theme="1"/>
        <rFont val="Times New Roman"/>
        <family val="1"/>
        <charset val="204"/>
      </rPr>
      <t>2017</t>
    </r>
    <r>
      <rPr>
        <sz val="11"/>
        <color theme="1"/>
        <rFont val="Times New Roman"/>
        <family val="1"/>
        <charset val="204"/>
      </rPr>
      <t>=</t>
    </r>
  </si>
  <si>
    <r>
      <t>San</t>
    </r>
    <r>
      <rPr>
        <vertAlign val="subscript"/>
        <sz val="11"/>
        <color theme="1"/>
        <rFont val="Times New Roman"/>
        <family val="1"/>
        <charset val="204"/>
      </rPr>
      <t>2017</t>
    </r>
    <r>
      <rPr>
        <sz val="11"/>
        <color theme="1"/>
        <rFont val="Times New Roman"/>
        <family val="1"/>
        <charset val="204"/>
      </rPr>
      <t>=</t>
    </r>
  </si>
  <si>
    <t>истинное значение</t>
  </si>
  <si>
    <r>
      <t>C</t>
    </r>
    <r>
      <rPr>
        <b/>
        <vertAlign val="superscript"/>
        <sz val="11"/>
        <color theme="1"/>
        <rFont val="Times New Roman"/>
        <family val="1"/>
        <charset val="204"/>
      </rPr>
      <t>P</t>
    </r>
    <r>
      <rPr>
        <b/>
        <vertAlign val="subscript"/>
        <sz val="11"/>
        <color theme="1"/>
        <rFont val="Times New Roman"/>
        <family val="1"/>
        <charset val="204"/>
      </rPr>
      <t>2018</t>
    </r>
    <r>
      <rPr>
        <b/>
        <sz val="11"/>
        <color theme="1"/>
        <rFont val="Times New Roman"/>
        <family val="1"/>
        <charset val="204"/>
      </rPr>
      <t>=</t>
    </r>
  </si>
  <si>
    <r>
      <t>C</t>
    </r>
    <r>
      <rPr>
        <b/>
        <vertAlign val="subscript"/>
        <sz val="11"/>
        <color theme="1"/>
        <rFont val="Times New Roman"/>
        <family val="1"/>
        <charset val="204"/>
      </rPr>
      <t>2018</t>
    </r>
    <r>
      <rPr>
        <b/>
        <sz val="11"/>
        <color theme="1"/>
        <rFont val="Times New Roman"/>
        <family val="1"/>
        <charset val="204"/>
      </rPr>
      <t>=</t>
    </r>
  </si>
  <si>
    <r>
      <t>x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vertAlign val="superscript"/>
        <sz val="11"/>
        <color theme="1"/>
        <rFont val="Times New Roman"/>
        <family val="1"/>
        <charset val="204"/>
      </rPr>
      <t>T</t>
    </r>
    <r>
      <rPr>
        <sz val="11"/>
        <color theme="1"/>
        <rFont val="Times New Roman"/>
        <family val="1"/>
        <charset val="204"/>
      </rPr>
      <t>=</t>
    </r>
  </si>
  <si>
    <t>X=</t>
  </si>
  <si>
    <r>
      <t>X</t>
    </r>
    <r>
      <rPr>
        <vertAlign val="superscript"/>
        <sz val="11"/>
        <color theme="1"/>
        <rFont val="Times New Roman"/>
        <family val="1"/>
        <charset val="204"/>
      </rPr>
      <t>T</t>
    </r>
    <r>
      <rPr>
        <sz val="11"/>
        <color theme="1"/>
        <rFont val="Times New Roman"/>
        <family val="1"/>
        <charset val="204"/>
      </rPr>
      <t>=</t>
    </r>
  </si>
  <si>
    <t>(1 шаг)</t>
  </si>
  <si>
    <t>(2 шаг)</t>
  </si>
  <si>
    <t>Q=</t>
  </si>
  <si>
    <r>
      <t>X</t>
    </r>
    <r>
      <rPr>
        <vertAlign val="superscript"/>
        <sz val="11"/>
        <color theme="1"/>
        <rFont val="Times New Roman"/>
        <family val="1"/>
        <charset val="204"/>
      </rPr>
      <t>T</t>
    </r>
    <r>
      <rPr>
        <sz val="11"/>
        <color theme="1"/>
        <rFont val="Times New Roman"/>
        <family val="1"/>
        <charset val="204"/>
      </rPr>
      <t>*X=</t>
    </r>
  </si>
  <si>
    <r>
      <t>x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>=</t>
    </r>
  </si>
  <si>
    <t>(3 шаг)</t>
  </si>
  <si>
    <r>
      <t>x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vertAlign val="superscript"/>
        <sz val="11"/>
        <color theme="1"/>
        <rFont val="Times New Roman"/>
        <family val="1"/>
        <charset val="204"/>
      </rPr>
      <t>T</t>
    </r>
    <r>
      <rPr>
        <sz val="11"/>
        <color theme="1"/>
        <rFont val="Times New Roman"/>
        <family val="1"/>
        <charset val="204"/>
      </rPr>
      <t>*Q=</t>
    </r>
  </si>
  <si>
    <r>
      <t>q</t>
    </r>
    <r>
      <rPr>
        <b/>
        <vertAlign val="subscript"/>
        <sz val="11"/>
        <color theme="1"/>
        <rFont val="Times New Roman"/>
        <family val="1"/>
        <charset val="204"/>
      </rPr>
      <t>0</t>
    </r>
    <r>
      <rPr>
        <b/>
        <sz val="11"/>
        <color theme="1"/>
        <rFont val="Times New Roman"/>
        <family val="1"/>
        <charset val="204"/>
      </rPr>
      <t>=</t>
    </r>
  </si>
  <si>
    <t>точность прогноза</t>
  </si>
  <si>
    <r>
      <t>S</t>
    </r>
    <r>
      <rPr>
        <b/>
        <vertAlign val="subscript"/>
        <sz val="11"/>
        <color theme="1"/>
        <rFont val="Times New Roman"/>
        <family val="1"/>
        <charset val="204"/>
      </rPr>
      <t>CP2018</t>
    </r>
    <r>
      <rPr>
        <b/>
        <sz val="11"/>
        <color theme="1"/>
        <rFont val="Times New Roman"/>
        <family val="1"/>
        <charset val="204"/>
      </rPr>
      <t>=</t>
    </r>
  </si>
  <si>
    <r>
      <t>delta Y</t>
    </r>
    <r>
      <rPr>
        <vertAlign val="subscript"/>
        <sz val="11"/>
        <color theme="1"/>
        <rFont val="Times New Roman"/>
        <family val="1"/>
        <charset val="204"/>
      </rPr>
      <t>2017</t>
    </r>
    <r>
      <rPr>
        <sz val="11"/>
        <color theme="1"/>
        <rFont val="Times New Roman"/>
        <family val="1"/>
        <charset val="204"/>
      </rPr>
      <t>=</t>
    </r>
  </si>
  <si>
    <r>
      <t>I</t>
    </r>
    <r>
      <rPr>
        <b/>
        <vertAlign val="superscript"/>
        <sz val="11"/>
        <color theme="1"/>
        <rFont val="Times New Roman"/>
        <family val="1"/>
        <charset val="204"/>
      </rPr>
      <t>P</t>
    </r>
    <r>
      <rPr>
        <b/>
        <vertAlign val="subscript"/>
        <sz val="11"/>
        <color theme="1"/>
        <rFont val="Times New Roman"/>
        <family val="1"/>
        <charset val="204"/>
      </rPr>
      <t>2018</t>
    </r>
    <r>
      <rPr>
        <b/>
        <sz val="11"/>
        <color theme="1"/>
        <rFont val="Times New Roman"/>
        <family val="1"/>
        <charset val="204"/>
      </rPr>
      <t>=</t>
    </r>
  </si>
  <si>
    <r>
      <t>I</t>
    </r>
    <r>
      <rPr>
        <b/>
        <vertAlign val="subscript"/>
        <sz val="11"/>
        <color theme="1"/>
        <rFont val="Times New Roman"/>
        <family val="1"/>
        <charset val="204"/>
      </rPr>
      <t>2018</t>
    </r>
    <r>
      <rPr>
        <b/>
        <sz val="11"/>
        <color theme="1"/>
        <rFont val="Times New Roman"/>
        <family val="1"/>
        <charset val="204"/>
      </rPr>
      <t>=</t>
    </r>
  </si>
  <si>
    <r>
      <t>S</t>
    </r>
    <r>
      <rPr>
        <b/>
        <vertAlign val="subscript"/>
        <sz val="11"/>
        <color theme="1"/>
        <rFont val="Times New Roman"/>
        <family val="1"/>
        <charset val="204"/>
      </rPr>
      <t>IP2018</t>
    </r>
    <r>
      <rPr>
        <b/>
        <sz val="11"/>
        <color theme="1"/>
        <rFont val="Times New Roman"/>
        <family val="1"/>
        <charset val="204"/>
      </rPr>
      <t>=</t>
    </r>
  </si>
  <si>
    <r>
      <t>G</t>
    </r>
    <r>
      <rPr>
        <vertAlign val="subscript"/>
        <sz val="11"/>
        <color theme="1"/>
        <rFont val="Times New Roman"/>
        <family val="1"/>
        <charset val="204"/>
      </rPr>
      <t>2017</t>
    </r>
    <r>
      <rPr>
        <sz val="11"/>
        <color theme="1"/>
        <rFont val="Times New Roman"/>
        <family val="1"/>
        <charset val="204"/>
      </rPr>
      <t>=</t>
    </r>
  </si>
  <si>
    <r>
      <t>G</t>
    </r>
    <r>
      <rPr>
        <b/>
        <vertAlign val="superscript"/>
        <sz val="11"/>
        <color theme="1"/>
        <rFont val="Times New Roman"/>
        <family val="1"/>
        <charset val="204"/>
      </rPr>
      <t>P</t>
    </r>
    <r>
      <rPr>
        <b/>
        <vertAlign val="subscript"/>
        <sz val="11"/>
        <color theme="1"/>
        <rFont val="Times New Roman"/>
        <family val="1"/>
        <charset val="204"/>
      </rPr>
      <t>2018</t>
    </r>
    <r>
      <rPr>
        <b/>
        <sz val="11"/>
        <color theme="1"/>
        <rFont val="Times New Roman"/>
        <family val="1"/>
        <charset val="204"/>
      </rPr>
      <t>=</t>
    </r>
  </si>
  <si>
    <r>
      <t>G</t>
    </r>
    <r>
      <rPr>
        <b/>
        <vertAlign val="subscript"/>
        <sz val="11"/>
        <color theme="1"/>
        <rFont val="Times New Roman"/>
        <family val="1"/>
        <charset val="204"/>
      </rPr>
      <t>2018</t>
    </r>
    <r>
      <rPr>
        <b/>
        <sz val="11"/>
        <color theme="1"/>
        <rFont val="Times New Roman"/>
        <family val="1"/>
        <charset val="204"/>
      </rPr>
      <t>=</t>
    </r>
  </si>
  <si>
    <r>
      <t>S</t>
    </r>
    <r>
      <rPr>
        <b/>
        <vertAlign val="subscript"/>
        <sz val="11"/>
        <color theme="1"/>
        <rFont val="Times New Roman"/>
        <family val="1"/>
        <charset val="204"/>
      </rPr>
      <t>GP2018</t>
    </r>
    <r>
      <rPr>
        <b/>
        <sz val="11"/>
        <color theme="1"/>
        <rFont val="Times New Roman"/>
        <family val="1"/>
        <charset val="204"/>
      </rPr>
      <t>=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</si>
  <si>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крит</t>
    </r>
    <r>
      <rPr>
        <sz val="11"/>
        <color theme="1"/>
        <rFont val="Times New Roman"/>
        <family val="1"/>
        <charset val="204"/>
      </rPr>
      <t>=</t>
    </r>
  </si>
  <si>
    <r>
      <t>y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vertAlign val="superscript"/>
        <sz val="11"/>
        <color theme="1"/>
        <rFont val="Times New Roman"/>
        <family val="1"/>
        <charset val="204"/>
      </rPr>
      <t>-</t>
    </r>
    <r>
      <rPr>
        <sz val="11"/>
        <color theme="1"/>
        <rFont val="Times New Roman"/>
        <family val="1"/>
        <charset val="204"/>
      </rPr>
      <t>=</t>
    </r>
  </si>
  <si>
    <r>
      <t>y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vertAlign val="superscript"/>
        <sz val="11"/>
        <color theme="1"/>
        <rFont val="Times New Roman"/>
        <family val="1"/>
        <charset val="204"/>
      </rPr>
      <t>+</t>
    </r>
    <r>
      <rPr>
        <sz val="11"/>
        <color theme="1"/>
        <rFont val="Times New Roman"/>
        <family val="1"/>
        <charset val="204"/>
      </rPr>
      <t>=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</si>
  <si>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=</t>
    </r>
  </si>
  <si>
    <r>
      <t>|t</t>
    </r>
    <r>
      <rPr>
        <vertAlign val="subscript"/>
        <sz val="11"/>
        <color theme="1"/>
        <rFont val="Times New Roman"/>
        <family val="1"/>
        <charset val="204"/>
      </rPr>
      <t>3</t>
    </r>
    <r>
      <rPr>
        <sz val="11"/>
        <color theme="1"/>
        <rFont val="Times New Roman"/>
        <family val="1"/>
        <charset val="204"/>
      </rPr>
      <t>|=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</si>
</sst>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#,##0.000"/>
  </numFmts>
  <fonts count="16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b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bscript"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Roman"/>
      <charset val="204"/>
    </font>
    <font>
      <sz val="11"/>
      <name val="Times Roman"/>
      <charset val="204"/>
    </font>
    <font>
      <b/>
      <sz val="11"/>
      <color theme="1"/>
      <name val="Times Roman"/>
      <charset val="204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164" fontId="1" fillId="4" borderId="12" xfId="0" applyNumberFormat="1" applyFont="1" applyFill="1" applyBorder="1" applyAlignment="1">
      <alignment horizontal="center" vertical="center" wrapText="1"/>
    </xf>
    <xf numFmtId="1" fontId="1" fillId="6" borderId="18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" fontId="1" fillId="0" borderId="2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 wrapText="1"/>
    </xf>
    <xf numFmtId="165" fontId="1" fillId="5" borderId="5" xfId="0" applyNumberFormat="1" applyFont="1" applyFill="1" applyBorder="1" applyAlignment="1">
      <alignment horizontal="center" vertical="center" wrapText="1"/>
    </xf>
    <xf numFmtId="165" fontId="1" fillId="9" borderId="5" xfId="0" applyNumberFormat="1" applyFont="1" applyFill="1" applyBorder="1" applyAlignment="1">
      <alignment horizontal="center" vertical="center" wrapText="1"/>
    </xf>
    <xf numFmtId="165" fontId="3" fillId="5" borderId="5" xfId="0" applyNumberFormat="1" applyFont="1" applyFill="1" applyBorder="1" applyAlignment="1">
      <alignment horizontal="center" vertical="center" wrapText="1"/>
    </xf>
    <xf numFmtId="165" fontId="3" fillId="9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10" borderId="19" xfId="0" applyFont="1" applyFill="1" applyBorder="1" applyAlignment="1">
      <alignment horizontal="right" vertical="center" wrapText="1"/>
    </xf>
    <xf numFmtId="0" fontId="2" fillId="10" borderId="21" xfId="0" applyFont="1" applyFill="1" applyBorder="1" applyAlignment="1">
      <alignment horizontal="right" vertical="center" wrapText="1"/>
    </xf>
    <xf numFmtId="166" fontId="2" fillId="10" borderId="20" xfId="0" applyNumberFormat="1" applyFont="1" applyFill="1" applyBorder="1" applyAlignment="1">
      <alignment horizontal="left" vertical="center" wrapText="1"/>
    </xf>
    <xf numFmtId="165" fontId="2" fillId="10" borderId="22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10" borderId="11" xfId="0" applyFont="1" applyFill="1" applyBorder="1" applyAlignment="1">
      <alignment horizontal="right" vertical="center" wrapText="1"/>
    </xf>
    <xf numFmtId="2" fontId="2" fillId="10" borderId="12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3" fillId="0" borderId="5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165" fontId="1" fillId="7" borderId="5" xfId="0" applyNumberFormat="1" applyFont="1" applyFill="1" applyBorder="1" applyAlignment="1">
      <alignment horizontal="center" vertical="center" wrapText="1"/>
    </xf>
    <xf numFmtId="165" fontId="1" fillId="7" borderId="6" xfId="0" applyNumberFormat="1" applyFont="1" applyFill="1" applyBorder="1" applyAlignment="1">
      <alignment horizontal="center" vertical="center" wrapText="1"/>
    </xf>
    <xf numFmtId="165" fontId="3" fillId="7" borderId="5" xfId="0" applyNumberFormat="1" applyFont="1" applyFill="1" applyBorder="1" applyAlignment="1">
      <alignment horizontal="center" vertical="center" wrapText="1"/>
    </xf>
    <xf numFmtId="165" fontId="3" fillId="7" borderId="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165" fontId="3" fillId="0" borderId="6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2" fontId="1" fillId="11" borderId="5" xfId="0" applyNumberFormat="1" applyFont="1" applyFill="1" applyBorder="1" applyAlignment="1">
      <alignment horizontal="center" vertical="center" wrapText="1"/>
    </xf>
    <xf numFmtId="2" fontId="1" fillId="12" borderId="5" xfId="0" applyNumberFormat="1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2" fontId="1" fillId="13" borderId="5" xfId="0" applyNumberFormat="1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165" fontId="2" fillId="7" borderId="5" xfId="0" applyNumberFormat="1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165" fontId="13" fillId="5" borderId="5" xfId="0" applyNumberFormat="1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horizontal="center" vertical="center" wrapText="1"/>
    </xf>
    <xf numFmtId="165" fontId="13" fillId="9" borderId="5" xfId="0" applyNumberFormat="1" applyFont="1" applyFill="1" applyBorder="1" applyAlignment="1">
      <alignment horizontal="center" vertical="center" wrapText="1"/>
    </xf>
    <xf numFmtId="165" fontId="14" fillId="5" borderId="5" xfId="0" applyNumberFormat="1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165" fontId="14" fillId="9" borderId="5" xfId="0" applyNumberFormat="1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165" fontId="14" fillId="9" borderId="6" xfId="0" applyNumberFormat="1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3" fillId="0" borderId="0" xfId="0" applyFont="1"/>
    <xf numFmtId="2" fontId="15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/>
    <xf numFmtId="2" fontId="15" fillId="0" borderId="5" xfId="0" applyNumberFormat="1" applyFont="1" applyBorder="1" applyAlignment="1">
      <alignment horizontal="center" vertical="center"/>
    </xf>
    <xf numFmtId="2" fontId="13" fillId="0" borderId="5" xfId="0" applyNumberFormat="1" applyFont="1" applyBorder="1" applyAlignment="1">
      <alignment horizontal="center" vertical="center" wrapText="1"/>
    </xf>
    <xf numFmtId="2" fontId="13" fillId="0" borderId="5" xfId="0" applyNumberFormat="1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165" fontId="13" fillId="0" borderId="5" xfId="0" applyNumberFormat="1" applyFont="1" applyFill="1" applyBorder="1" applyAlignment="1">
      <alignment horizontal="center" vertical="center" wrapText="1"/>
    </xf>
    <xf numFmtId="165" fontId="14" fillId="0" borderId="5" xfId="0" applyNumberFormat="1" applyFont="1" applyFill="1" applyBorder="1" applyAlignment="1">
      <alignment horizontal="center" vertical="center" wrapText="1"/>
    </xf>
    <xf numFmtId="165" fontId="14" fillId="0" borderId="6" xfId="0" applyNumberFormat="1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>
                <a:latin typeface="Times" pitchFamily="2" charset="0"/>
              </a:rPr>
              <a:t>Диаграма рассеивания "Лаговый ВВП - тек. потребление домохозяйств" (1 ур-ние)</a:t>
            </a:r>
          </a:p>
        </c:rich>
      </c:tx>
      <c:layout>
        <c:manualLayout>
          <c:xMode val="edge"/>
          <c:yMode val="edge"/>
          <c:x val="0.12189505417239085"/>
          <c:y val="5.1194525491245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Диаграма рассеивания "Лаговый ВВП - тек. потребление домохозяйств"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'Лист1 сем3+4'!$B$4:$Q$4</c:f>
              <c:numCache>
                <c:formatCode>General</c:formatCode>
                <c:ptCount val="16"/>
                <c:pt idx="0">
                  <c:v>27312.3</c:v>
                </c:pt>
                <c:pt idx="1">
                  <c:v>29304.9</c:v>
                </c:pt>
                <c:pt idx="2">
                  <c:v>31407.8</c:v>
                </c:pt>
                <c:pt idx="3">
                  <c:v>33410.5</c:v>
                </c:pt>
                <c:pt idx="4">
                  <c:v>36134.6</c:v>
                </c:pt>
                <c:pt idx="5">
                  <c:v>39218.699999999997</c:v>
                </c:pt>
                <c:pt idx="6">
                  <c:v>41276.800000000003</c:v>
                </c:pt>
                <c:pt idx="7">
                  <c:v>38048.6</c:v>
                </c:pt>
                <c:pt idx="8">
                  <c:v>39762.199999999997</c:v>
                </c:pt>
                <c:pt idx="9">
                  <c:v>41457.800000000003</c:v>
                </c:pt>
                <c:pt idx="10">
                  <c:v>42973.5</c:v>
                </c:pt>
                <c:pt idx="11">
                  <c:v>43740.704111475097</c:v>
                </c:pt>
                <c:pt idx="12">
                  <c:v>44063.797454319298</c:v>
                </c:pt>
                <c:pt idx="13">
                  <c:v>42945.281037116903</c:v>
                </c:pt>
                <c:pt idx="14">
                  <c:v>42871.144250487298</c:v>
                </c:pt>
                <c:pt idx="15">
                  <c:v>43533.749989135002</c:v>
                </c:pt>
              </c:numCache>
            </c:numRef>
          </c:xVal>
          <c:yVal>
            <c:numRef>
              <c:f>'Лист1 сем3+4'!$C$7:$R$7</c:f>
              <c:numCache>
                <c:formatCode>General</c:formatCode>
                <c:ptCount val="16"/>
                <c:pt idx="0">
                  <c:v>11159.8</c:v>
                </c:pt>
                <c:pt idx="1">
                  <c:v>12550.7</c:v>
                </c:pt>
                <c:pt idx="2">
                  <c:v>14087.4</c:v>
                </c:pt>
                <c:pt idx="3">
                  <c:v>15799.7</c:v>
                </c:pt>
                <c:pt idx="4">
                  <c:v>18060.8</c:v>
                </c:pt>
                <c:pt idx="5">
                  <c:v>19967</c:v>
                </c:pt>
                <c:pt idx="6">
                  <c:v>18946.599999999999</c:v>
                </c:pt>
                <c:pt idx="7">
                  <c:v>19993.8</c:v>
                </c:pt>
                <c:pt idx="8">
                  <c:v>21356.2</c:v>
                </c:pt>
                <c:pt idx="9">
                  <c:v>23053.8</c:v>
                </c:pt>
                <c:pt idx="10">
                  <c:v>24263.159764191099</c:v>
                </c:pt>
                <c:pt idx="11">
                  <c:v>24736.3708425324</c:v>
                </c:pt>
                <c:pt idx="12">
                  <c:v>22418.535331585401</c:v>
                </c:pt>
                <c:pt idx="13">
                  <c:v>21780.763210474499</c:v>
                </c:pt>
                <c:pt idx="14">
                  <c:v>22511.920513599998</c:v>
                </c:pt>
                <c:pt idx="15">
                  <c:v>23010.044974890901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B6-D349-9C0B-B87D10B87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479264"/>
        <c:axId val="2060482592"/>
      </c:scatterChart>
      <c:valAx>
        <c:axId val="2060479264"/>
        <c:scaling>
          <c:orientation val="minMax"/>
          <c:max val="45000"/>
          <c:min val="2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60482592"/>
        <c:crosses val="autoZero"/>
        <c:crossBetween val="midCat"/>
      </c:valAx>
      <c:valAx>
        <c:axId val="2060482592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206047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baseline="0">
                <a:effectLst/>
                <a:latin typeface="Times" pitchFamily="2" charset="0"/>
              </a:rPr>
              <a:t>Диаграма рассеивания 2 ур-ния = Объем инвестиций в экономику/Валовое накопление капитала</a:t>
            </a:r>
            <a:endParaRPr lang="ru-RU" sz="1050">
              <a:effectLst/>
              <a:latin typeface="Times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ур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91-B348-84AE-58E4A6E3722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E91-B348-84AE-58E4A6E3722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91-B348-84AE-58E4A6E3722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E91-B348-84AE-58E4A6E3722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E91-B348-84AE-58E4A6E3722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E91-B348-84AE-58E4A6E37225}"/>
                </c:ext>
              </c:extLst>
            </c:dLbl>
            <c:dLbl>
              <c:idx val="6"/>
              <c:layout>
                <c:manualLayout>
                  <c:x val="-2.7122862060037466E-2"/>
                  <c:y val="-8.993579365663403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91-B348-84AE-58E4A6E3722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E91-B348-84AE-58E4A6E3722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E91-B348-84AE-58E4A6E3722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E91-B348-84AE-58E4A6E3722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E91-B348-84AE-58E4A6E3722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91-B348-84AE-58E4A6E37225}"/>
                </c:ext>
              </c:extLst>
            </c:dLbl>
            <c:dLbl>
              <c:idx val="12"/>
              <c:layout>
                <c:manualLayout>
                  <c:x val="-0.11188580392634673"/>
                  <c:y val="-8.177570093457943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91-B348-84AE-58E4A6E37225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E91-B348-84AE-58E4A6E3722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E91-B348-84AE-58E4A6E37225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E91-B348-84AE-58E4A6E372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'Лист1 сем3+4'!$C$5:$R$5</c:f>
              <c:numCache>
                <c:formatCode>General</c:formatCode>
                <c:ptCount val="16"/>
                <c:pt idx="0">
                  <c:v>1992.6000000000022</c:v>
                </c:pt>
                <c:pt idx="1">
                  <c:v>2102.8999999999978</c:v>
                </c:pt>
                <c:pt idx="2">
                  <c:v>2002.7000000000007</c:v>
                </c:pt>
                <c:pt idx="3">
                  <c:v>2724.0999999999985</c:v>
                </c:pt>
                <c:pt idx="4">
                  <c:v>3084.0999999999985</c:v>
                </c:pt>
                <c:pt idx="5">
                  <c:v>2058.1000000000058</c:v>
                </c:pt>
                <c:pt idx="6">
                  <c:v>-3228.2000000000044</c:v>
                </c:pt>
                <c:pt idx="7">
                  <c:v>1713.5999999999985</c:v>
                </c:pt>
                <c:pt idx="8">
                  <c:v>1695.6000000000058</c:v>
                </c:pt>
                <c:pt idx="9">
                  <c:v>1515.6999999999971</c:v>
                </c:pt>
                <c:pt idx="10">
                  <c:v>767.20411147509731</c:v>
                </c:pt>
                <c:pt idx="11">
                  <c:v>323.09334284420038</c:v>
                </c:pt>
                <c:pt idx="12">
                  <c:v>-1118.5164172023942</c:v>
                </c:pt>
                <c:pt idx="13">
                  <c:v>-74.136786629605922</c:v>
                </c:pt>
                <c:pt idx="14">
                  <c:v>662.60573864770413</c:v>
                </c:pt>
                <c:pt idx="15">
                  <c:v>989.81647744229849</c:v>
                </c:pt>
              </c:numCache>
            </c:numRef>
          </c:xVal>
          <c:yVal>
            <c:numRef>
              <c:f>'Лист1 сем3+4'!$C$10:$R$10</c:f>
              <c:numCache>
                <c:formatCode>General</c:formatCode>
                <c:ptCount val="16"/>
                <c:pt idx="0">
                  <c:v>5396.9</c:v>
                </c:pt>
                <c:pt idx="1">
                  <c:v>6056.2</c:v>
                </c:pt>
                <c:pt idx="2">
                  <c:v>6631.1</c:v>
                </c:pt>
                <c:pt idx="3">
                  <c:v>7806.4</c:v>
                </c:pt>
                <c:pt idx="4">
                  <c:v>9526.5</c:v>
                </c:pt>
                <c:pt idx="5">
                  <c:v>10526.1</c:v>
                </c:pt>
                <c:pt idx="6">
                  <c:v>6209.8</c:v>
                </c:pt>
                <c:pt idx="7">
                  <c:v>7982.2</c:v>
                </c:pt>
                <c:pt idx="8">
                  <c:v>9656.2999999999993</c:v>
                </c:pt>
                <c:pt idx="9">
                  <c:v>10084.8629609</c:v>
                </c:pt>
                <c:pt idx="10">
                  <c:v>9525.0478595999994</c:v>
                </c:pt>
                <c:pt idx="11">
                  <c:v>8947.7364885999996</c:v>
                </c:pt>
                <c:pt idx="12">
                  <c:v>7848.3547778999991</c:v>
                </c:pt>
                <c:pt idx="13">
                  <c:v>7700.6521864999995</c:v>
                </c:pt>
                <c:pt idx="14">
                  <c:v>8269.5079999999998</c:v>
                </c:pt>
                <c:pt idx="15">
                  <c:v>8393.4108784662603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6C-AB4F-BF24-6CA33FA0D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26672"/>
        <c:axId val="173720016"/>
      </c:scatterChart>
      <c:valAx>
        <c:axId val="173726672"/>
        <c:scaling>
          <c:orientation val="minMax"/>
          <c:min val="-3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" pitchFamily="2" charset="0"/>
                  </a:rPr>
                  <a:t>Значение </a:t>
                </a:r>
                <a:r>
                  <a:rPr lang="en-GB">
                    <a:latin typeface="Times" pitchFamily="2" charset="0"/>
                  </a:rPr>
                  <a:t>Y </a:t>
                </a:r>
                <a:r>
                  <a:rPr lang="ru-RU">
                    <a:latin typeface="Times" pitchFamily="2" charset="0"/>
                  </a:rPr>
                  <a:t>(валовый внутренний</a:t>
                </a:r>
                <a:r>
                  <a:rPr lang="ru-RU" baseline="0">
                    <a:latin typeface="Times" pitchFamily="2" charset="0"/>
                  </a:rPr>
                  <a:t> продукт)</a:t>
                </a:r>
                <a:endParaRPr lang="en-GB">
                  <a:latin typeface="Time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73720016"/>
        <c:crosses val="autoZero"/>
        <c:crossBetween val="midCat"/>
      </c:valAx>
      <c:valAx>
        <c:axId val="173720016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" pitchFamily="2" charset="0"/>
                  </a:rPr>
                  <a:t>Значение </a:t>
                </a:r>
                <a:r>
                  <a:rPr lang="en-GB">
                    <a:latin typeface="Times" pitchFamily="2" charset="0"/>
                  </a:rPr>
                  <a:t>I</a:t>
                </a:r>
                <a:endParaRPr lang="ru-RU">
                  <a:latin typeface="Times" pitchFamily="2" charset="0"/>
                </a:endParaRPr>
              </a:p>
              <a:p>
                <a:pPr>
                  <a:defRPr/>
                </a:pPr>
                <a:r>
                  <a:rPr lang="en-GB">
                    <a:latin typeface="Times" pitchFamily="2" charset="0"/>
                  </a:rPr>
                  <a:t> </a:t>
                </a:r>
                <a:r>
                  <a:rPr lang="ru-RU">
                    <a:latin typeface="Times" pitchFamily="2" charset="0"/>
                  </a:rPr>
                  <a:t>(валовое накопление)</a:t>
                </a:r>
                <a:endParaRPr lang="en-GB">
                  <a:latin typeface="Time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7372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baseline="0">
                <a:effectLst/>
                <a:latin typeface="Times" pitchFamily="2" charset="0"/>
              </a:rPr>
              <a:t>Диаграма рассеивания 3 ур-ния = Уровень гос-ных расходов/Гос-ное потребление</a:t>
            </a:r>
            <a:endParaRPr lang="ru-RU" sz="1200">
              <a:effectLst/>
              <a:latin typeface="Times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ур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5E-AF4E-884B-60D5CE9D1FD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5E-AF4E-884B-60D5CE9D1FD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5E-AF4E-884B-60D5CE9D1FD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C5E-AF4E-884B-60D5CE9D1FD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C5E-AF4E-884B-60D5CE9D1FD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5E-AF4E-884B-60D5CE9D1FDC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C5E-AF4E-884B-60D5CE9D1FDC}"/>
                </c:ext>
              </c:extLst>
            </c:dLbl>
            <c:dLbl>
              <c:idx val="7"/>
              <c:layout>
                <c:manualLayout>
                  <c:x val="-7.8701851457756974E-2"/>
                  <c:y val="7.144553359401495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5E-AF4E-884B-60D5CE9D1FD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C5E-AF4E-884B-60D5CE9D1FDC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C5E-AF4E-884B-60D5CE9D1FD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C5E-AF4E-884B-60D5CE9D1FDC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C5E-AF4E-884B-60D5CE9D1FDC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C5E-AF4E-884B-60D5CE9D1FDC}"/>
                </c:ext>
              </c:extLst>
            </c:dLbl>
            <c:dLbl>
              <c:idx val="13"/>
              <c:layout>
                <c:manualLayout>
                  <c:x val="-0.28240841516432069"/>
                  <c:y val="-5.100344599782170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C5E-AF4E-884B-60D5CE9D1FDC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C5E-AF4E-884B-60D5CE9D1FDC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C5E-AF4E-884B-60D5CE9D1F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'Лист1 сем3+4'!$B$8:$Q$8</c:f>
              <c:numCache>
                <c:formatCode>General</c:formatCode>
                <c:ptCount val="16"/>
                <c:pt idx="0">
                  <c:v>6390</c:v>
                </c:pt>
                <c:pt idx="1">
                  <c:v>6540.2</c:v>
                </c:pt>
                <c:pt idx="2">
                  <c:v>6679</c:v>
                </c:pt>
                <c:pt idx="3">
                  <c:v>6775.3</c:v>
                </c:pt>
                <c:pt idx="4">
                  <c:v>6931.9</c:v>
                </c:pt>
                <c:pt idx="5">
                  <c:v>7120.7</c:v>
                </c:pt>
                <c:pt idx="6">
                  <c:v>7359.9</c:v>
                </c:pt>
                <c:pt idx="7">
                  <c:v>7314.5</c:v>
                </c:pt>
                <c:pt idx="8">
                  <c:v>7205.7</c:v>
                </c:pt>
                <c:pt idx="9">
                  <c:v>7306.7</c:v>
                </c:pt>
                <c:pt idx="10">
                  <c:v>7498.7</c:v>
                </c:pt>
                <c:pt idx="11">
                  <c:v>7562.6711761688503</c:v>
                </c:pt>
                <c:pt idx="12">
                  <c:v>7401.9951260520202</c:v>
                </c:pt>
                <c:pt idx="13">
                  <c:v>7170.7326642855796</c:v>
                </c:pt>
                <c:pt idx="14">
                  <c:v>7238.2651898854401</c:v>
                </c:pt>
                <c:pt idx="15">
                  <c:v>7264.2719268000001</c:v>
                </c:pt>
              </c:numCache>
            </c:numRef>
          </c:xVal>
          <c:yVal>
            <c:numRef>
              <c:f>'Лист1 сем3+4'!$C$8:$R$8</c:f>
              <c:numCache>
                <c:formatCode>General</c:formatCode>
                <c:ptCount val="16"/>
                <c:pt idx="0">
                  <c:v>6540.2</c:v>
                </c:pt>
                <c:pt idx="1">
                  <c:v>6679</c:v>
                </c:pt>
                <c:pt idx="2">
                  <c:v>6775.3</c:v>
                </c:pt>
                <c:pt idx="3">
                  <c:v>6931.9</c:v>
                </c:pt>
                <c:pt idx="4">
                  <c:v>7120.7</c:v>
                </c:pt>
                <c:pt idx="5">
                  <c:v>7359.9</c:v>
                </c:pt>
                <c:pt idx="6">
                  <c:v>7314.5</c:v>
                </c:pt>
                <c:pt idx="7">
                  <c:v>7205.7</c:v>
                </c:pt>
                <c:pt idx="8">
                  <c:v>7306.7</c:v>
                </c:pt>
                <c:pt idx="9">
                  <c:v>7498.7</c:v>
                </c:pt>
                <c:pt idx="10">
                  <c:v>7562.6711761688503</c:v>
                </c:pt>
                <c:pt idx="11">
                  <c:v>7401.9951260520202</c:v>
                </c:pt>
                <c:pt idx="12">
                  <c:v>7170.7326642855796</c:v>
                </c:pt>
                <c:pt idx="13">
                  <c:v>7238.2651898854401</c:v>
                </c:pt>
                <c:pt idx="14">
                  <c:v>7264.2719268000001</c:v>
                </c:pt>
                <c:pt idx="15">
                  <c:v>7326.3820647624398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19-DF4D-9BE8-C6CE585E4B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1929824"/>
        <c:axId val="171930656"/>
      </c:scatterChart>
      <c:valAx>
        <c:axId val="171929824"/>
        <c:scaling>
          <c:orientation val="minMax"/>
          <c:max val="7600"/>
          <c:min val="6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" pitchFamily="2" charset="0"/>
                  </a:rPr>
                  <a:t>Значение </a:t>
                </a:r>
                <a:r>
                  <a:rPr lang="en-GB">
                    <a:latin typeface="Times" pitchFamily="2" charset="0"/>
                  </a:rPr>
                  <a:t>G</a:t>
                </a:r>
                <a:r>
                  <a:rPr lang="ru-RU">
                    <a:latin typeface="Times" pitchFamily="2" charset="0"/>
                  </a:rPr>
                  <a:t> за предыдущий</a:t>
                </a:r>
                <a:r>
                  <a:rPr lang="ru-RU" baseline="0">
                    <a:latin typeface="Times" pitchFamily="2" charset="0"/>
                  </a:rPr>
                  <a:t> период (гос-ное управление)</a:t>
                </a:r>
                <a:endParaRPr lang="en-GB">
                  <a:latin typeface="Time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71930656"/>
        <c:crosses val="autoZero"/>
        <c:crossBetween val="midCat"/>
      </c:valAx>
      <c:valAx>
        <c:axId val="171930656"/>
        <c:scaling>
          <c:orientation val="minMax"/>
          <c:max val="7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" pitchFamily="2" charset="0"/>
                  </a:rPr>
                  <a:t>Значение</a:t>
                </a:r>
                <a:r>
                  <a:rPr lang="ru-RU" baseline="0">
                    <a:latin typeface="Times" pitchFamily="2" charset="0"/>
                  </a:rPr>
                  <a:t> </a:t>
                </a:r>
                <a:r>
                  <a:rPr lang="en-GB" baseline="0">
                    <a:latin typeface="Times" pitchFamily="2" charset="0"/>
                  </a:rPr>
                  <a:t>G</a:t>
                </a:r>
                <a:endParaRPr lang="en-GB">
                  <a:latin typeface="Times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ru-RU"/>
          </a:p>
        </c:txPr>
        <c:crossAx val="17192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30</xdr:row>
      <xdr:rowOff>28575</xdr:rowOff>
    </xdr:from>
    <xdr:to>
      <xdr:col>13</xdr:col>
      <xdr:colOff>561975</xdr:colOff>
      <xdr:row>53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1</xdr:row>
      <xdr:rowOff>0</xdr:rowOff>
    </xdr:from>
    <xdr:to>
      <xdr:col>7</xdr:col>
      <xdr:colOff>850900</xdr:colOff>
      <xdr:row>29</xdr:row>
      <xdr:rowOff>101600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393700</xdr:colOff>
      <xdr:row>0</xdr:row>
      <xdr:rowOff>0</xdr:rowOff>
    </xdr:from>
    <xdr:to>
      <xdr:col>15</xdr:col>
      <xdr:colOff>838200</xdr:colOff>
      <xdr:row>29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0.08395</cdr:x>
      <cdr:y>0.70093</cdr:y>
    </cdr:from>
    <cdr:to>
      <cdr:x>0.15165</cdr:x>
      <cdr:y>0.77804</cdr:y>
    </cdr:to>
    <cdr:sp macro="" textlink="">
      <cdr:nvSpPr>
        <cdr:cNvPr id="2" name="Doughnut 1">
          <a:extLst xmlns:a="http://schemas.openxmlformats.org/drawingml/2006/main">
            <a:ext uri="{FF2B5EF4-FFF2-40B4-BE49-F238E27FC236}">
              <a16:creationId xmlns:a16="http://schemas.microsoft.com/office/drawing/2014/main" id="{2677D1B4-B8EF-464F-902F-38956348E6CF}"/>
            </a:ext>
          </a:extLst>
        </cdr:cNvPr>
        <cdr:cNvSpPr/>
      </cdr:nvSpPr>
      <cdr:spPr>
        <a:xfrm xmlns:a="http://schemas.openxmlformats.org/drawingml/2006/main">
          <a:off x="476859" y="3809979"/>
          <a:ext cx="384541" cy="419139"/>
        </a:xfrm>
        <a:prstGeom xmlns:a="http://schemas.openxmlformats.org/drawingml/2006/main" prst="donut">
          <a:avLst/>
        </a:pr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0.34468</cdr:x>
      <cdr:y>0.48598</cdr:y>
    </cdr:from>
    <cdr:to>
      <cdr:x>0.41238</cdr:x>
      <cdr:y>0.56308</cdr:y>
    </cdr:to>
    <cdr:sp macro="" textlink="">
      <cdr:nvSpPr>
        <cdr:cNvPr id="3" name="Doughnut 2">
          <a:extLst xmlns:a="http://schemas.openxmlformats.org/drawingml/2006/main">
            <a:ext uri="{FF2B5EF4-FFF2-40B4-BE49-F238E27FC236}">
              <a16:creationId xmlns:a16="http://schemas.microsoft.com/office/drawing/2014/main" id="{A638F0E7-9B0C-FD41-BA51-91EE0873E52F}"/>
            </a:ext>
          </a:extLst>
        </cdr:cNvPr>
        <cdr:cNvSpPr/>
      </cdr:nvSpPr>
      <cdr:spPr>
        <a:xfrm xmlns:a="http://schemas.openxmlformats.org/drawingml/2006/main">
          <a:off x="1957817" y="2641593"/>
          <a:ext cx="384541" cy="419085"/>
        </a:xfrm>
        <a:prstGeom xmlns:a="http://schemas.openxmlformats.org/drawingml/2006/main" prst="donut">
          <a:avLst/>
        </a:pr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0.73745</cdr:x>
      <cdr:y>0.32653</cdr:y>
    </cdr:from>
    <cdr:to>
      <cdr:x>0.80502</cdr:x>
      <cdr:y>0.40136</cdr:y>
    </cdr:to>
    <cdr:sp macro="" textlink="">
      <cdr:nvSpPr>
        <cdr:cNvPr id="2" name="Doughnut 1">
          <a:extLst xmlns:a="http://schemas.openxmlformats.org/drawingml/2006/main">
            <a:ext uri="{FF2B5EF4-FFF2-40B4-BE49-F238E27FC236}">
              <a16:creationId xmlns:a16="http://schemas.microsoft.com/office/drawing/2014/main" id="{F6F33232-8450-3842-8849-D69750DCE69F}"/>
            </a:ext>
          </a:extLst>
        </cdr:cNvPr>
        <cdr:cNvSpPr/>
      </cdr:nvSpPr>
      <cdr:spPr>
        <a:xfrm xmlns:a="http://schemas.openxmlformats.org/drawingml/2006/main">
          <a:off x="4851400" y="1828800"/>
          <a:ext cx="444500" cy="419100"/>
        </a:xfrm>
        <a:prstGeom xmlns:a="http://schemas.openxmlformats.org/drawingml/2006/main" prst="donut">
          <a:avLst/>
        </a:pr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0.63926</cdr:x>
      <cdr:y>0.30895</cdr:y>
    </cdr:from>
    <cdr:to>
      <cdr:x>0.70682</cdr:x>
      <cdr:y>0.38378</cdr:y>
    </cdr:to>
    <cdr:sp macro="" textlink="">
      <cdr:nvSpPr>
        <cdr:cNvPr id="3" name="Doughnut 2">
          <a:extLst xmlns:a="http://schemas.openxmlformats.org/drawingml/2006/main">
            <a:ext uri="{FF2B5EF4-FFF2-40B4-BE49-F238E27FC236}">
              <a16:creationId xmlns:a16="http://schemas.microsoft.com/office/drawing/2014/main" id="{F6F33232-8450-3842-8849-D69750DCE69F}"/>
            </a:ext>
          </a:extLst>
        </cdr:cNvPr>
        <cdr:cNvSpPr/>
      </cdr:nvSpPr>
      <cdr:spPr>
        <a:xfrm xmlns:a="http://schemas.openxmlformats.org/drawingml/2006/main">
          <a:off x="3645250" y="1730348"/>
          <a:ext cx="385248" cy="419100"/>
        </a:xfrm>
        <a:prstGeom xmlns:a="http://schemas.openxmlformats.org/drawingml/2006/main" prst="donut">
          <a:avLst/>
        </a:prstGeom>
        <a:solidFill xmlns:a="http://schemas.openxmlformats.org/drawingml/2006/main">
          <a:srgbClr val="FFFF0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>
            <a:solidFill>
              <a:srgbClr val="FF0000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234950</xdr:colOff>
      <xdr:row>16</xdr:row>
      <xdr:rowOff>101600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534150" y="316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234950</xdr:colOff>
      <xdr:row>16</xdr:row>
      <xdr:rowOff>101600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778500" y="3340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234950</xdr:colOff>
      <xdr:row>16</xdr:row>
      <xdr:rowOff>101600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FFB054-9900-7340-81D6-7FEAC519E3B2}"/>
            </a:ext>
          </a:extLst>
        </xdr:cNvPr>
        <xdr:cNvSpPr txBox="1"/>
      </xdr:nvSpPr>
      <xdr:spPr>
        <a:xfrm>
          <a:off x="6597650" y="3162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234950</xdr:colOff>
      <xdr:row>52</xdr:row>
      <xdr:rowOff>101600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04EA747-8BCF-914D-B94C-6F8FE384493F}"/>
            </a:ext>
          </a:extLst>
        </xdr:cNvPr>
        <xdr:cNvSpPr txBox="1"/>
      </xdr:nvSpPr>
      <xdr:spPr>
        <a:xfrm>
          <a:off x="1187450" y="347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1"/>
  <sheetViews>
    <sheetView zoomScale="90" zoomScaleNormal="90" workbookViewId="0">
      <selection activeCell="K24" sqref="K24"/>
    </sheetView>
  </sheetViews>
  <sheetFormatPr defaultColWidth="7.140625" defaultRowHeight="15"/>
  <cols>
    <col min="1" max="1" width="28.42578125" style="14" customWidth="1"/>
    <col min="2" max="2" width="8.85546875" style="14" customWidth="1"/>
    <col min="3" max="3" width="11.42578125" style="14" bestFit="1" customWidth="1"/>
    <col min="4" max="11" width="7.7109375" style="14" bestFit="1" customWidth="1"/>
    <col min="12" max="14" width="11.7109375" style="14" bestFit="1" customWidth="1"/>
    <col min="15" max="16" width="12.28515625" style="14" bestFit="1" customWidth="1"/>
    <col min="17" max="18" width="11.7109375" style="14" bestFit="1" customWidth="1"/>
    <col min="19" max="19" width="7.140625" style="14"/>
    <col min="20" max="22" width="7.28515625" style="14" bestFit="1" customWidth="1"/>
    <col min="23" max="23" width="16.85546875" style="14" customWidth="1"/>
    <col min="24" max="24" width="14" style="14" customWidth="1"/>
    <col min="25" max="25" width="12.28515625" style="14" bestFit="1" customWidth="1"/>
    <col min="26" max="26" width="12.42578125" style="14" customWidth="1"/>
    <col min="27" max="16384" width="7.140625" style="14"/>
  </cols>
  <sheetData>
    <row r="1" spans="1:29" ht="30">
      <c r="A1" s="154" t="s">
        <v>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T1" s="15" t="s">
        <v>15</v>
      </c>
      <c r="U1" s="15" t="s">
        <v>14</v>
      </c>
      <c r="V1" s="15" t="s">
        <v>16</v>
      </c>
      <c r="W1" s="9" t="s">
        <v>17</v>
      </c>
      <c r="X1" s="10" t="s">
        <v>18</v>
      </c>
      <c r="Y1" s="1" t="s">
        <v>25</v>
      </c>
      <c r="Z1" s="24" t="s">
        <v>26</v>
      </c>
      <c r="AB1" s="40" t="s">
        <v>29</v>
      </c>
      <c r="AC1" s="41">
        <f>W20*Q8</f>
        <v>7319.9580587781156</v>
      </c>
    </row>
    <row r="2" spans="1:29" ht="45.75" thickBot="1">
      <c r="A2" s="155" t="s">
        <v>1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44"/>
      <c r="T2" s="15">
        <v>2003</v>
      </c>
      <c r="U2" s="17">
        <f t="array" ref="U2:U16">TRANSPOSE(C8:Q8)</f>
        <v>6540.2</v>
      </c>
      <c r="V2" s="17">
        <f t="array" ref="V2:V16">TRANSPOSE(B8:P8)</f>
        <v>6390</v>
      </c>
      <c r="W2" s="9">
        <f>V2^2</f>
        <v>40832100</v>
      </c>
      <c r="X2" s="10">
        <f>U2*V2</f>
        <v>41791878</v>
      </c>
      <c r="Y2" s="8">
        <f>U2-W$20*V2</f>
        <v>101.21582279328231</v>
      </c>
      <c r="Z2" s="25">
        <f>Y2^2</f>
        <v>10244.642783721127</v>
      </c>
      <c r="AB2" s="42" t="s">
        <v>30</v>
      </c>
      <c r="AC2" s="43">
        <f>100*ABS(AC1-R8)/AC1</f>
        <v>8.7760147431725416E-2</v>
      </c>
    </row>
    <row r="3" spans="1:29">
      <c r="A3" s="1"/>
      <c r="B3" s="2">
        <v>2002</v>
      </c>
      <c r="C3" s="2">
        <v>2003</v>
      </c>
      <c r="D3" s="2">
        <v>2004</v>
      </c>
      <c r="E3" s="2">
        <v>2005</v>
      </c>
      <c r="F3" s="2">
        <v>2006</v>
      </c>
      <c r="G3" s="2">
        <v>2007</v>
      </c>
      <c r="H3" s="2">
        <v>2008</v>
      </c>
      <c r="I3" s="2">
        <v>2009</v>
      </c>
      <c r="J3" s="2">
        <v>2010</v>
      </c>
      <c r="K3" s="2">
        <v>2011</v>
      </c>
      <c r="L3" s="2">
        <v>2012</v>
      </c>
      <c r="M3" s="2">
        <v>2013</v>
      </c>
      <c r="N3" s="2">
        <v>2014</v>
      </c>
      <c r="O3" s="2">
        <v>2015</v>
      </c>
      <c r="P3" s="2">
        <v>2016</v>
      </c>
      <c r="Q3" s="3">
        <v>2017</v>
      </c>
      <c r="R3" s="3">
        <v>2018</v>
      </c>
      <c r="S3" s="44"/>
      <c r="T3" s="15">
        <v>2004</v>
      </c>
      <c r="U3" s="17">
        <v>6679</v>
      </c>
      <c r="V3" s="17">
        <v>6540.2</v>
      </c>
      <c r="W3" s="9">
        <f t="shared" ref="W3:W16" si="0">V3^2</f>
        <v>42774216.039999999</v>
      </c>
      <c r="X3" s="10">
        <f t="shared" ref="X3:X16" si="1">U3*V3</f>
        <v>43681995.799999997</v>
      </c>
      <c r="Y3" s="8">
        <f t="shared" ref="Y3:Y16" si="2">U3-W$20*V3</f>
        <v>88.664426327484762</v>
      </c>
      <c r="Z3" s="25">
        <f t="shared" ref="Z3:Z16" si="3">Y3^2</f>
        <v>7861.3804959819727</v>
      </c>
    </row>
    <row r="4" spans="1:29" s="16" customFormat="1" ht="29.25">
      <c r="A4" s="4" t="s">
        <v>9</v>
      </c>
      <c r="B4" s="5">
        <v>27312.3</v>
      </c>
      <c r="C4" s="5">
        <v>29304.9</v>
      </c>
      <c r="D4" s="5">
        <v>31407.8</v>
      </c>
      <c r="E4" s="5">
        <v>33410.5</v>
      </c>
      <c r="F4" s="5">
        <v>36134.6</v>
      </c>
      <c r="G4" s="5">
        <v>39218.699999999997</v>
      </c>
      <c r="H4" s="5">
        <v>41276.800000000003</v>
      </c>
      <c r="I4" s="5">
        <v>38048.6</v>
      </c>
      <c r="J4" s="5">
        <v>39762.199999999997</v>
      </c>
      <c r="K4" s="5">
        <v>41457.800000000003</v>
      </c>
      <c r="L4" s="6">
        <v>42973.5</v>
      </c>
      <c r="M4" s="6">
        <v>43740.704111475097</v>
      </c>
      <c r="N4" s="6">
        <v>44063.797454319298</v>
      </c>
      <c r="O4" s="6">
        <v>42945.281037116903</v>
      </c>
      <c r="P4" s="6">
        <v>42871.144250487298</v>
      </c>
      <c r="Q4" s="7">
        <v>43533.749989135002</v>
      </c>
      <c r="R4" s="6">
        <v>44523.5664665773</v>
      </c>
      <c r="S4" s="44"/>
      <c r="T4" s="15">
        <v>2005</v>
      </c>
      <c r="U4" s="34">
        <v>6775.3</v>
      </c>
      <c r="V4" s="34">
        <v>6679</v>
      </c>
      <c r="W4" s="15">
        <f t="shared" si="0"/>
        <v>44609041</v>
      </c>
      <c r="X4" s="35">
        <f t="shared" si="1"/>
        <v>45252228.700000003</v>
      </c>
      <c r="Y4" s="31">
        <f t="shared" si="2"/>
        <v>45.100419473604234</v>
      </c>
      <c r="Z4" s="36">
        <f t="shared" si="3"/>
        <v>2034.0478366950599</v>
      </c>
    </row>
    <row r="5" spans="1:29" s="16" customFormat="1">
      <c r="A5" s="4" t="s">
        <v>13</v>
      </c>
      <c r="B5" s="5"/>
      <c r="C5" s="5">
        <f>C4-B4</f>
        <v>1992.6000000000022</v>
      </c>
      <c r="D5" s="5">
        <f t="shared" ref="D5:P5" si="4">D4-C4</f>
        <v>2102.8999999999978</v>
      </c>
      <c r="E5" s="5">
        <f t="shared" si="4"/>
        <v>2002.7000000000007</v>
      </c>
      <c r="F5" s="5">
        <f t="shared" si="4"/>
        <v>2724.0999999999985</v>
      </c>
      <c r="G5" s="5">
        <f t="shared" si="4"/>
        <v>3084.0999999999985</v>
      </c>
      <c r="H5" s="5">
        <f t="shared" si="4"/>
        <v>2058.1000000000058</v>
      </c>
      <c r="I5" s="5">
        <f t="shared" si="4"/>
        <v>-3228.2000000000044</v>
      </c>
      <c r="J5" s="5">
        <f t="shared" si="4"/>
        <v>1713.5999999999985</v>
      </c>
      <c r="K5" s="5">
        <f t="shared" si="4"/>
        <v>1695.6000000000058</v>
      </c>
      <c r="L5" s="5">
        <f t="shared" si="4"/>
        <v>1515.6999999999971</v>
      </c>
      <c r="M5" s="5">
        <f t="shared" si="4"/>
        <v>767.20411147509731</v>
      </c>
      <c r="N5" s="5">
        <f t="shared" si="4"/>
        <v>323.09334284420038</v>
      </c>
      <c r="O5" s="5">
        <f t="shared" si="4"/>
        <v>-1118.5164172023942</v>
      </c>
      <c r="P5" s="5">
        <f t="shared" si="4"/>
        <v>-74.136786629605922</v>
      </c>
      <c r="Q5" s="5">
        <f>Q4-P4</f>
        <v>662.60573864770413</v>
      </c>
      <c r="R5" s="5">
        <f>R4-Q4</f>
        <v>989.81647744229849</v>
      </c>
      <c r="S5" s="44"/>
      <c r="T5" s="15">
        <v>2006</v>
      </c>
      <c r="U5" s="34">
        <v>6931.9</v>
      </c>
      <c r="V5" s="34">
        <v>6775.3</v>
      </c>
      <c r="W5" s="15">
        <f t="shared" si="0"/>
        <v>45904690.090000004</v>
      </c>
      <c r="X5" s="35">
        <f t="shared" si="1"/>
        <v>46965702.07</v>
      </c>
      <c r="Y5" s="31">
        <f t="shared" si="2"/>
        <v>104.66220722555863</v>
      </c>
      <c r="Z5" s="36">
        <f t="shared" si="3"/>
        <v>10954.177621325778</v>
      </c>
    </row>
    <row r="6" spans="1:29" s="16" customFormat="1" ht="30">
      <c r="A6" s="26" t="s">
        <v>2</v>
      </c>
      <c r="B6" s="37">
        <v>16458</v>
      </c>
      <c r="C6" s="37">
        <v>17458.5</v>
      </c>
      <c r="D6" s="37">
        <v>19092.599999999999</v>
      </c>
      <c r="E6" s="37">
        <v>20835</v>
      </c>
      <c r="F6" s="37">
        <v>22821.5</v>
      </c>
      <c r="G6" s="37">
        <v>25369.599999999999</v>
      </c>
      <c r="H6" s="37">
        <v>27543.599999999999</v>
      </c>
      <c r="I6" s="37">
        <v>26460.5</v>
      </c>
      <c r="J6" s="37">
        <v>27399.7</v>
      </c>
      <c r="K6" s="37">
        <v>28849</v>
      </c>
      <c r="L6" s="38"/>
      <c r="M6" s="38"/>
      <c r="N6" s="38"/>
      <c r="O6" s="38"/>
      <c r="P6" s="38"/>
      <c r="Q6" s="39"/>
      <c r="R6" s="38"/>
      <c r="S6" s="44"/>
      <c r="T6" s="15">
        <v>2007</v>
      </c>
      <c r="U6" s="34">
        <v>7120.7</v>
      </c>
      <c r="V6" s="34">
        <v>6931.9</v>
      </c>
      <c r="W6" s="15">
        <f t="shared" si="0"/>
        <v>48051237.609999992</v>
      </c>
      <c r="X6" s="35">
        <f t="shared" si="1"/>
        <v>49359980.329999998</v>
      </c>
      <c r="Y6" s="31">
        <f t="shared" si="2"/>
        <v>135.66174992500055</v>
      </c>
      <c r="Z6" s="36">
        <f t="shared" si="3"/>
        <v>18404.110392713388</v>
      </c>
    </row>
    <row r="7" spans="1:29" s="16" customFormat="1">
      <c r="A7" s="4" t="s">
        <v>10</v>
      </c>
      <c r="B7" s="5">
        <v>10366.6</v>
      </c>
      <c r="C7" s="5">
        <v>11159.8</v>
      </c>
      <c r="D7" s="5">
        <v>12550.7</v>
      </c>
      <c r="E7" s="5">
        <v>14087.4</v>
      </c>
      <c r="F7" s="5">
        <v>15799.7</v>
      </c>
      <c r="G7" s="5">
        <v>18060.8</v>
      </c>
      <c r="H7" s="5">
        <v>19967</v>
      </c>
      <c r="I7" s="5">
        <v>18946.599999999999</v>
      </c>
      <c r="J7" s="5">
        <v>19993.8</v>
      </c>
      <c r="K7" s="5">
        <v>21356.2</v>
      </c>
      <c r="L7" s="6">
        <v>23053.8</v>
      </c>
      <c r="M7" s="6">
        <v>24263.159764191099</v>
      </c>
      <c r="N7" s="6">
        <v>24736.3708425324</v>
      </c>
      <c r="O7" s="6">
        <v>22418.535331585401</v>
      </c>
      <c r="P7" s="6">
        <v>21780.763210474499</v>
      </c>
      <c r="Q7" s="7">
        <v>22511.920513599998</v>
      </c>
      <c r="R7" s="6">
        <v>23010.044974890901</v>
      </c>
      <c r="S7" s="44"/>
      <c r="T7" s="15">
        <v>2008</v>
      </c>
      <c r="U7" s="34">
        <v>7359.9</v>
      </c>
      <c r="V7" s="34">
        <v>7120.7</v>
      </c>
      <c r="W7" s="15">
        <f t="shared" si="0"/>
        <v>50704368.489999995</v>
      </c>
      <c r="X7" s="35">
        <f t="shared" si="1"/>
        <v>52407639.93</v>
      </c>
      <c r="Y7" s="31">
        <f t="shared" si="2"/>
        <v>184.61445529955017</v>
      </c>
      <c r="Z7" s="36">
        <f t="shared" si="3"/>
        <v>34082.497105549606</v>
      </c>
    </row>
    <row r="8" spans="1:29" s="16" customFormat="1" ht="29.25">
      <c r="A8" s="4" t="s">
        <v>11</v>
      </c>
      <c r="B8" s="5">
        <v>6390</v>
      </c>
      <c r="C8" s="5">
        <v>6540.2</v>
      </c>
      <c r="D8" s="5">
        <v>6679</v>
      </c>
      <c r="E8" s="5">
        <v>6775.3</v>
      </c>
      <c r="F8" s="5">
        <v>6931.9</v>
      </c>
      <c r="G8" s="5">
        <v>7120.7</v>
      </c>
      <c r="H8" s="5">
        <v>7359.9</v>
      </c>
      <c r="I8" s="5">
        <v>7314.5</v>
      </c>
      <c r="J8" s="5">
        <v>7205.7</v>
      </c>
      <c r="K8" s="5">
        <v>7306.7</v>
      </c>
      <c r="L8" s="6">
        <v>7498.7</v>
      </c>
      <c r="M8" s="6">
        <v>7562.6711761688503</v>
      </c>
      <c r="N8" s="6">
        <v>7401.9951260520202</v>
      </c>
      <c r="O8" s="6">
        <v>7170.7326642855796</v>
      </c>
      <c r="P8" s="6">
        <v>7238.2651898854401</v>
      </c>
      <c r="Q8" s="7">
        <v>7264.2719268000001</v>
      </c>
      <c r="R8" s="6">
        <v>7326.3820647624398</v>
      </c>
      <c r="S8" s="44"/>
      <c r="T8" s="15">
        <v>2009</v>
      </c>
      <c r="U8" s="34">
        <v>7314.5</v>
      </c>
      <c r="V8" s="34">
        <v>7359.9</v>
      </c>
      <c r="W8" s="15">
        <f t="shared" si="0"/>
        <v>54168128.009999998</v>
      </c>
      <c r="X8" s="35">
        <f t="shared" si="1"/>
        <v>53833988.549999997</v>
      </c>
      <c r="Y8" s="31">
        <f t="shared" si="2"/>
        <v>-101.81919339964315</v>
      </c>
      <c r="Z8" s="36">
        <f t="shared" si="3"/>
        <v>10367.148144553936</v>
      </c>
    </row>
    <row r="9" spans="1:29" s="16" customFormat="1" ht="45">
      <c r="A9" s="31" t="s">
        <v>3</v>
      </c>
      <c r="B9" s="15">
        <v>299.60000000000002</v>
      </c>
      <c r="C9" s="15">
        <v>300</v>
      </c>
      <c r="D9" s="15">
        <v>266.7</v>
      </c>
      <c r="E9" s="15">
        <v>217.8</v>
      </c>
      <c r="F9" s="15">
        <v>214</v>
      </c>
      <c r="G9" s="15">
        <v>219.9</v>
      </c>
      <c r="H9" s="15">
        <v>216.7</v>
      </c>
      <c r="I9" s="15">
        <v>199.4</v>
      </c>
      <c r="J9" s="15">
        <v>198.4</v>
      </c>
      <c r="K9" s="15">
        <v>188.8</v>
      </c>
      <c r="L9" s="32"/>
      <c r="M9" s="32"/>
      <c r="N9" s="32"/>
      <c r="O9" s="32"/>
      <c r="P9" s="32"/>
      <c r="Q9" s="33"/>
      <c r="R9" s="32"/>
      <c r="S9" s="44"/>
      <c r="T9" s="15">
        <v>2010</v>
      </c>
      <c r="U9" s="34">
        <v>7205.7</v>
      </c>
      <c r="V9" s="34">
        <v>7314.5</v>
      </c>
      <c r="W9" s="15">
        <f t="shared" si="0"/>
        <v>53501910.25</v>
      </c>
      <c r="X9" s="35">
        <f t="shared" si="1"/>
        <v>52706092.649999999</v>
      </c>
      <c r="Y9" s="31">
        <f t="shared" si="2"/>
        <v>-164.87116810305724</v>
      </c>
      <c r="Z9" s="36">
        <f t="shared" si="3"/>
        <v>27182.50207166656</v>
      </c>
    </row>
    <row r="10" spans="1:29" s="16" customFormat="1">
      <c r="A10" s="4" t="s">
        <v>12</v>
      </c>
      <c r="B10" s="5">
        <v>4723.1000000000004</v>
      </c>
      <c r="C10" s="5">
        <v>5396.9</v>
      </c>
      <c r="D10" s="5">
        <v>6056.2</v>
      </c>
      <c r="E10" s="5">
        <v>6631.1</v>
      </c>
      <c r="F10" s="5">
        <v>7806.4</v>
      </c>
      <c r="G10" s="5">
        <v>9526.5</v>
      </c>
      <c r="H10" s="5">
        <v>10526.1</v>
      </c>
      <c r="I10" s="5">
        <v>6209.8</v>
      </c>
      <c r="J10" s="5">
        <v>7982.2</v>
      </c>
      <c r="K10" s="5">
        <v>9656.2999999999993</v>
      </c>
      <c r="L10" s="6">
        <v>10084.8629609</v>
      </c>
      <c r="M10" s="6">
        <v>9525.0478595999994</v>
      </c>
      <c r="N10" s="6">
        <v>8947.7364885999996</v>
      </c>
      <c r="O10" s="6">
        <v>7848.3547778999991</v>
      </c>
      <c r="P10" s="6">
        <v>7700.6521864999995</v>
      </c>
      <c r="Q10" s="7">
        <v>8269.5079999999998</v>
      </c>
      <c r="R10" s="6">
        <v>8393.4108784662603</v>
      </c>
      <c r="S10" s="44"/>
      <c r="T10" s="15">
        <v>2011</v>
      </c>
      <c r="U10" s="34">
        <v>7306.7</v>
      </c>
      <c r="V10" s="34">
        <v>7205.7</v>
      </c>
      <c r="W10" s="15">
        <f t="shared" si="0"/>
        <v>51922112.489999995</v>
      </c>
      <c r="X10" s="35">
        <f t="shared" si="1"/>
        <v>52649888.189999998</v>
      </c>
      <c r="Y10" s="31">
        <f t="shared" si="2"/>
        <v>45.762866087879956</v>
      </c>
      <c r="Z10" s="36">
        <f t="shared" si="3"/>
        <v>2094.2399125772336</v>
      </c>
    </row>
    <row r="11" spans="1:29" ht="30">
      <c r="A11" s="8" t="s">
        <v>4</v>
      </c>
      <c r="B11" s="9">
        <v>4105</v>
      </c>
      <c r="C11" s="9">
        <v>4677.6000000000004</v>
      </c>
      <c r="D11" s="9">
        <v>5266.2</v>
      </c>
      <c r="E11" s="9">
        <v>5823.9</v>
      </c>
      <c r="F11" s="9">
        <v>6873.4</v>
      </c>
      <c r="G11" s="9">
        <v>8316</v>
      </c>
      <c r="H11" s="9">
        <v>9200.7999999999993</v>
      </c>
      <c r="I11" s="9">
        <v>7877.3</v>
      </c>
      <c r="J11" s="9">
        <v>8339.7000000000007</v>
      </c>
      <c r="K11" s="9" t="s">
        <v>5</v>
      </c>
      <c r="L11" s="9"/>
      <c r="M11" s="9"/>
      <c r="N11" s="9"/>
      <c r="O11" s="9"/>
      <c r="P11" s="9"/>
      <c r="Q11" s="10"/>
      <c r="R11" s="9"/>
      <c r="S11" s="44"/>
      <c r="T11" s="15">
        <v>2012</v>
      </c>
      <c r="U11" s="17">
        <v>7498.7</v>
      </c>
      <c r="V11" s="17">
        <v>7306.7</v>
      </c>
      <c r="W11" s="9">
        <f t="shared" si="0"/>
        <v>53387864.890000001</v>
      </c>
      <c r="X11" s="10">
        <f t="shared" si="1"/>
        <v>54790751.289999999</v>
      </c>
      <c r="Y11" s="8">
        <f t="shared" si="2"/>
        <v>135.98862478930732</v>
      </c>
      <c r="Z11" s="25">
        <f t="shared" si="3"/>
        <v>18492.906072087011</v>
      </c>
    </row>
    <row r="12" spans="1:29">
      <c r="A12" s="8" t="s">
        <v>6</v>
      </c>
      <c r="B12" s="9">
        <v>8401.7999999999993</v>
      </c>
      <c r="C12" s="9">
        <v>9463.7999999999993</v>
      </c>
      <c r="D12" s="9">
        <v>10581.3</v>
      </c>
      <c r="E12" s="9">
        <v>11264.7</v>
      </c>
      <c r="F12" s="9">
        <v>12089.8</v>
      </c>
      <c r="G12" s="9">
        <v>12847.6</v>
      </c>
      <c r="H12" s="9">
        <v>12923.6</v>
      </c>
      <c r="I12" s="9">
        <v>12311.5</v>
      </c>
      <c r="J12" s="9">
        <v>13179.1</v>
      </c>
      <c r="K12" s="9">
        <v>13220.4</v>
      </c>
      <c r="L12" s="9"/>
      <c r="M12" s="9"/>
      <c r="N12" s="9"/>
      <c r="O12" s="9"/>
      <c r="P12" s="9"/>
      <c r="Q12" s="10"/>
      <c r="R12" s="9"/>
      <c r="S12" s="44"/>
      <c r="T12" s="15">
        <v>2013</v>
      </c>
      <c r="U12" s="17">
        <v>7562.6711761688503</v>
      </c>
      <c r="V12" s="17">
        <v>7498.7</v>
      </c>
      <c r="W12" s="9">
        <f t="shared" si="0"/>
        <v>56230501.689999998</v>
      </c>
      <c r="X12" s="10">
        <f t="shared" si="1"/>
        <v>56710202.348737359</v>
      </c>
      <c r="Y12" s="8">
        <f t="shared" si="2"/>
        <v>6.4879759153272971</v>
      </c>
      <c r="Z12" s="25">
        <f t="shared" si="3"/>
        <v>42.093831477867077</v>
      </c>
    </row>
    <row r="13" spans="1:29">
      <c r="A13" s="8" t="s">
        <v>7</v>
      </c>
      <c r="B13" s="9">
        <v>3076.3</v>
      </c>
      <c r="C13" s="9">
        <v>3607.9</v>
      </c>
      <c r="D13" s="9">
        <v>4447.1000000000004</v>
      </c>
      <c r="E13" s="9">
        <v>5186.7</v>
      </c>
      <c r="F13" s="9">
        <v>6290.1</v>
      </c>
      <c r="G13" s="9">
        <v>7938.4</v>
      </c>
      <c r="H13" s="9">
        <v>9111</v>
      </c>
      <c r="I13" s="9">
        <v>6339.5</v>
      </c>
      <c r="J13" s="9">
        <v>7975.9</v>
      </c>
      <c r="K13" s="9">
        <v>9593.9</v>
      </c>
      <c r="L13" s="9"/>
      <c r="M13" s="9"/>
      <c r="N13" s="9"/>
      <c r="O13" s="9"/>
      <c r="P13" s="9"/>
      <c r="Q13" s="10"/>
      <c r="R13" s="9"/>
      <c r="S13" s="44"/>
      <c r="T13" s="15">
        <v>2014</v>
      </c>
      <c r="U13" s="17">
        <v>7401.9951260520202</v>
      </c>
      <c r="V13" s="17">
        <v>7562.6711761688503</v>
      </c>
      <c r="W13" s="9">
        <f t="shared" si="0"/>
        <v>57193995.318855144</v>
      </c>
      <c r="X13" s="10">
        <f t="shared" si="1"/>
        <v>55978855.185935929</v>
      </c>
      <c r="Y13" s="8">
        <f t="shared" si="2"/>
        <v>-218.64963776152399</v>
      </c>
      <c r="Z13" s="25">
        <f t="shared" si="3"/>
        <v>47807.664093245658</v>
      </c>
    </row>
    <row r="14" spans="1:29" ht="15.75" thickBot="1">
      <c r="A14" s="11" t="s">
        <v>8</v>
      </c>
      <c r="B14" s="12">
        <v>-247.6</v>
      </c>
      <c r="C14" s="12">
        <v>-302.7</v>
      </c>
      <c r="D14" s="12">
        <v>-424.6</v>
      </c>
      <c r="E14" s="12">
        <v>-534</v>
      </c>
      <c r="F14" s="12">
        <v>-486.5</v>
      </c>
      <c r="G14" s="12">
        <v>-573</v>
      </c>
      <c r="H14" s="12">
        <v>-605.5</v>
      </c>
      <c r="I14" s="12">
        <v>-593.70000000000005</v>
      </c>
      <c r="J14" s="12">
        <v>-686</v>
      </c>
      <c r="K14" s="12">
        <v>-697.9</v>
      </c>
      <c r="L14" s="12"/>
      <c r="M14" s="12"/>
      <c r="N14" s="12"/>
      <c r="O14" s="12"/>
      <c r="P14" s="12"/>
      <c r="Q14" s="13"/>
      <c r="R14" s="12"/>
      <c r="S14" s="44"/>
      <c r="T14" s="15">
        <v>2015</v>
      </c>
      <c r="U14" s="17">
        <v>7170.7326642855796</v>
      </c>
      <c r="V14" s="17">
        <v>7401.9951260520202</v>
      </c>
      <c r="W14" s="9">
        <f t="shared" si="0"/>
        <v>54789531.846097864</v>
      </c>
      <c r="X14" s="10">
        <f t="shared" si="1"/>
        <v>53077728.231263876</v>
      </c>
      <c r="Y14" s="8">
        <f t="shared" si="2"/>
        <v>-288.0043461072537</v>
      </c>
      <c r="Z14" s="25">
        <f t="shared" si="3"/>
        <v>82946.503376666777</v>
      </c>
    </row>
    <row r="15" spans="1:29">
      <c r="S15" s="44"/>
      <c r="T15" s="15">
        <v>2016</v>
      </c>
      <c r="U15" s="17">
        <v>7238.2651898854401</v>
      </c>
      <c r="V15" s="17">
        <v>7170.7326642855796</v>
      </c>
      <c r="W15" s="9">
        <f t="shared" si="0"/>
        <v>51419406.942652166</v>
      </c>
      <c r="X15" s="10">
        <f t="shared" si="1"/>
        <v>51903664.629872791</v>
      </c>
      <c r="Y15" s="8">
        <f t="shared" si="2"/>
        <v>12.563442731415307</v>
      </c>
      <c r="Z15" s="25">
        <f t="shared" si="3"/>
        <v>157.84009326555213</v>
      </c>
    </row>
    <row r="16" spans="1:29">
      <c r="S16" s="44"/>
      <c r="T16" s="15">
        <v>2017</v>
      </c>
      <c r="U16" s="17">
        <v>7264.2719268000001</v>
      </c>
      <c r="V16" s="17">
        <v>7238.2651898854401</v>
      </c>
      <c r="W16" s="9">
        <f t="shared" si="0"/>
        <v>52392482.95910731</v>
      </c>
      <c r="X16" s="10">
        <f t="shared" si="1"/>
        <v>52580726.617618471</v>
      </c>
      <c r="Y16" s="8">
        <f t="shared" si="2"/>
        <v>-29.480033778799225</v>
      </c>
      <c r="Z16" s="25">
        <f t="shared" si="3"/>
        <v>869.07239159914332</v>
      </c>
    </row>
    <row r="17" spans="3:26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s="44"/>
      <c r="T17" s="15"/>
      <c r="U17" s="17"/>
      <c r="V17" s="19" t="s">
        <v>21</v>
      </c>
      <c r="W17" s="20">
        <f>SUM(W2:W16)</f>
        <v>757881587.62671244</v>
      </c>
      <c r="X17" s="22">
        <f>SUM(X2:X16)</f>
        <v>763691322.52342844</v>
      </c>
      <c r="Y17" s="26">
        <f>AVERAGE(Y2:Y16)</f>
        <v>3.8598407612088823</v>
      </c>
      <c r="Z17" s="27">
        <f>SUM(Z2:Z16)</f>
        <v>273540.82622312667</v>
      </c>
    </row>
    <row r="18" spans="3:26" ht="15.75" thickBot="1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s="44"/>
      <c r="T18" s="9"/>
      <c r="U18" s="9"/>
      <c r="V18" s="9"/>
      <c r="W18" s="21" t="s">
        <v>19</v>
      </c>
      <c r="X18" s="23" t="s">
        <v>20</v>
      </c>
      <c r="Y18" s="28" t="s">
        <v>27</v>
      </c>
      <c r="Z18" s="30">
        <f>SQRT(Z17/(15-1))</f>
        <v>139.78065118073047</v>
      </c>
    </row>
    <row r="19" spans="3:26" ht="44.1" customHeight="1" thickBot="1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s="44"/>
      <c r="X19" s="156" t="s">
        <v>28</v>
      </c>
      <c r="Y19" s="154"/>
      <c r="Z19" s="154"/>
    </row>
    <row r="20" spans="3:26" ht="60.75" thickBot="1">
      <c r="S20" s="44"/>
      <c r="V20" s="18" t="s">
        <v>22</v>
      </c>
      <c r="W20" s="29">
        <f>X17/W17</f>
        <v>1.0076657554314112</v>
      </c>
      <c r="X20" s="14" t="s">
        <v>23</v>
      </c>
    </row>
    <row r="21" spans="3:26" ht="60" customHeight="1">
      <c r="V21" s="154" t="s">
        <v>24</v>
      </c>
      <c r="W21" s="154"/>
      <c r="X21" s="154"/>
    </row>
  </sheetData>
  <mergeCells count="4">
    <mergeCell ref="A1:R1"/>
    <mergeCell ref="A2:R2"/>
    <mergeCell ref="V21:X21"/>
    <mergeCell ref="X19:Z19"/>
  </mergeCells>
  <pageMargins left="0.7" right="0.7" top="0.75" bottom="0.75" header="0.3" footer="0.3"/>
  <pageSetup paperSize="9" scale="3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R11" sqref="R11"/>
    </sheetView>
  </sheetViews>
  <sheetFormatPr defaultColWidth="11.4257812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" sqref="M1:Q23"/>
    </sheetView>
  </sheetViews>
  <sheetFormatPr defaultColWidth="9.140625" defaultRowHeight="15"/>
  <cols>
    <col min="1" max="3" width="12.42578125" style="119" bestFit="1" customWidth="1"/>
    <col min="4" max="4" width="11.42578125" style="119" bestFit="1" customWidth="1"/>
    <col min="5" max="5" width="12.28515625" style="119" bestFit="1" customWidth="1"/>
    <col min="6" max="6" width="9.140625" style="119"/>
    <col min="7" max="8" width="13" style="119" bestFit="1" customWidth="1"/>
    <col min="9" max="9" width="12.140625" style="119" bestFit="1" customWidth="1"/>
    <col min="10" max="10" width="8.42578125" style="119" bestFit="1" customWidth="1"/>
    <col min="11" max="11" width="5.42578125" style="119" bestFit="1" customWidth="1"/>
    <col min="12" max="12" width="9.140625" style="120"/>
    <col min="13" max="13" width="12.85546875" style="119" bestFit="1" customWidth="1"/>
    <col min="14" max="15" width="11.42578125" style="119" bestFit="1" customWidth="1"/>
    <col min="16" max="16" width="4.42578125" style="119" bestFit="1" customWidth="1"/>
    <col min="17" max="17" width="5.42578125" style="119" bestFit="1" customWidth="1"/>
    <col min="18" max="16384" width="9.140625" style="119"/>
  </cols>
  <sheetData>
    <row r="1" spans="1:17" ht="30">
      <c r="A1" s="118" t="s">
        <v>15</v>
      </c>
      <c r="B1" s="118" t="s">
        <v>32</v>
      </c>
      <c r="C1" s="118" t="s">
        <v>33</v>
      </c>
      <c r="D1" s="118" t="s">
        <v>31</v>
      </c>
      <c r="E1" s="118" t="s">
        <v>34</v>
      </c>
      <c r="G1" s="118" t="s">
        <v>15</v>
      </c>
      <c r="H1" s="118" t="s">
        <v>38</v>
      </c>
      <c r="I1" s="118" t="s">
        <v>41</v>
      </c>
      <c r="J1" s="118" t="s">
        <v>31</v>
      </c>
      <c r="K1" s="118" t="s">
        <v>34</v>
      </c>
      <c r="M1" s="118" t="s">
        <v>15</v>
      </c>
      <c r="N1" s="118" t="s">
        <v>40</v>
      </c>
      <c r="O1" s="118" t="s">
        <v>39</v>
      </c>
      <c r="P1" s="118" t="s">
        <v>31</v>
      </c>
      <c r="Q1" s="118" t="s">
        <v>34</v>
      </c>
    </row>
    <row r="2" spans="1:17">
      <c r="A2" s="121">
        <v>2003</v>
      </c>
      <c r="B2" s="122">
        <v>11159.8</v>
      </c>
      <c r="C2" s="122">
        <v>27312.3</v>
      </c>
      <c r="D2" s="121">
        <v>0</v>
      </c>
      <c r="E2" s="121">
        <v>0</v>
      </c>
      <c r="G2" s="121">
        <v>2004</v>
      </c>
      <c r="H2" s="123">
        <v>6056.2</v>
      </c>
      <c r="I2" s="123">
        <v>2102.8999999999978</v>
      </c>
      <c r="J2" s="121">
        <v>0</v>
      </c>
      <c r="K2" s="121">
        <v>0</v>
      </c>
      <c r="M2" s="121">
        <v>2003</v>
      </c>
      <c r="N2" s="123">
        <v>6540.2</v>
      </c>
      <c r="O2" s="123">
        <v>6390</v>
      </c>
      <c r="P2" s="121">
        <v>0</v>
      </c>
      <c r="Q2" s="121">
        <v>0</v>
      </c>
    </row>
    <row r="3" spans="1:17">
      <c r="A3" s="121">
        <v>2004</v>
      </c>
      <c r="B3" s="122">
        <v>12550.7</v>
      </c>
      <c r="C3" s="122">
        <v>29304.9</v>
      </c>
      <c r="D3" s="121">
        <v>0</v>
      </c>
      <c r="E3" s="121">
        <v>0</v>
      </c>
      <c r="G3" s="121">
        <v>2005</v>
      </c>
      <c r="H3" s="123">
        <v>6631.1</v>
      </c>
      <c r="I3" s="123">
        <v>2002.7000000000007</v>
      </c>
      <c r="J3" s="121">
        <v>0</v>
      </c>
      <c r="K3" s="121">
        <v>0</v>
      </c>
      <c r="M3" s="121">
        <v>2004</v>
      </c>
      <c r="N3" s="123">
        <v>6679</v>
      </c>
      <c r="O3" s="123">
        <v>6540.2</v>
      </c>
      <c r="P3" s="121">
        <v>0</v>
      </c>
      <c r="Q3" s="121">
        <v>0</v>
      </c>
    </row>
    <row r="4" spans="1:17">
      <c r="A4" s="121">
        <v>2005</v>
      </c>
      <c r="B4" s="122">
        <v>14087.4</v>
      </c>
      <c r="C4" s="122">
        <v>31407.8</v>
      </c>
      <c r="D4" s="121">
        <v>0</v>
      </c>
      <c r="E4" s="121">
        <v>0</v>
      </c>
      <c r="G4" s="121">
        <v>2006</v>
      </c>
      <c r="H4" s="123">
        <v>7806.4</v>
      </c>
      <c r="I4" s="123">
        <v>2724.0999999999985</v>
      </c>
      <c r="J4" s="121">
        <v>0</v>
      </c>
      <c r="K4" s="121">
        <v>0</v>
      </c>
      <c r="M4" s="121">
        <v>2005</v>
      </c>
      <c r="N4" s="123">
        <v>6775.3</v>
      </c>
      <c r="O4" s="123">
        <v>6679</v>
      </c>
      <c r="P4" s="121">
        <v>0</v>
      </c>
      <c r="Q4" s="121">
        <v>0</v>
      </c>
    </row>
    <row r="5" spans="1:17">
      <c r="A5" s="121">
        <v>2006</v>
      </c>
      <c r="B5" s="122">
        <v>15799.7</v>
      </c>
      <c r="C5" s="122">
        <v>33410.5</v>
      </c>
      <c r="D5" s="121">
        <v>0</v>
      </c>
      <c r="E5" s="121">
        <v>0</v>
      </c>
      <c r="G5" s="121">
        <v>2007</v>
      </c>
      <c r="H5" s="123">
        <v>9526.5</v>
      </c>
      <c r="I5" s="123">
        <v>3084.0999999999985</v>
      </c>
      <c r="J5" s="121">
        <v>0</v>
      </c>
      <c r="K5" s="121">
        <v>0</v>
      </c>
      <c r="M5" s="121">
        <v>2006</v>
      </c>
      <c r="N5" s="123">
        <v>6931.9</v>
      </c>
      <c r="O5" s="123">
        <v>6775.3</v>
      </c>
      <c r="P5" s="121">
        <v>0</v>
      </c>
      <c r="Q5" s="121">
        <v>0</v>
      </c>
    </row>
    <row r="6" spans="1:17">
      <c r="A6" s="121">
        <v>2007</v>
      </c>
      <c r="B6" s="122">
        <v>18060.8</v>
      </c>
      <c r="C6" s="122">
        <v>36134.6</v>
      </c>
      <c r="D6" s="121">
        <v>0</v>
      </c>
      <c r="E6" s="121">
        <v>0</v>
      </c>
      <c r="G6" s="121">
        <v>2008</v>
      </c>
      <c r="H6" s="123">
        <v>10526.1</v>
      </c>
      <c r="I6" s="123">
        <v>2058.1000000000058</v>
      </c>
      <c r="J6" s="121">
        <v>0</v>
      </c>
      <c r="K6" s="121">
        <v>0</v>
      </c>
      <c r="M6" s="121">
        <v>2007</v>
      </c>
      <c r="N6" s="123">
        <v>7120.7</v>
      </c>
      <c r="O6" s="123">
        <v>6931.9</v>
      </c>
      <c r="P6" s="121">
        <v>0</v>
      </c>
      <c r="Q6" s="121">
        <v>0</v>
      </c>
    </row>
    <row r="7" spans="1:17">
      <c r="A7" s="121">
        <v>2008</v>
      </c>
      <c r="B7" s="122">
        <v>19967</v>
      </c>
      <c r="C7" s="122">
        <v>39218.699999999997</v>
      </c>
      <c r="D7" s="121">
        <v>0</v>
      </c>
      <c r="E7" s="121">
        <v>0</v>
      </c>
      <c r="G7" s="124">
        <v>2009</v>
      </c>
      <c r="H7" s="125">
        <v>6209.8</v>
      </c>
      <c r="I7" s="125">
        <v>-3228.2000000000044</v>
      </c>
      <c r="J7" s="124">
        <v>1</v>
      </c>
      <c r="K7" s="124">
        <v>0</v>
      </c>
      <c r="M7" s="121">
        <v>2008</v>
      </c>
      <c r="N7" s="123">
        <v>7359.9</v>
      </c>
      <c r="O7" s="123">
        <v>7120.7</v>
      </c>
      <c r="P7" s="121">
        <v>0</v>
      </c>
      <c r="Q7" s="121">
        <v>0</v>
      </c>
    </row>
    <row r="8" spans="1:17">
      <c r="A8" s="124">
        <v>2009</v>
      </c>
      <c r="B8" s="124">
        <v>18946.599999999999</v>
      </c>
      <c r="C8" s="124">
        <v>41276.800000000003</v>
      </c>
      <c r="D8" s="124">
        <v>1</v>
      </c>
      <c r="E8" s="124">
        <v>0</v>
      </c>
      <c r="G8" s="121">
        <v>2010</v>
      </c>
      <c r="H8" s="123">
        <v>7982.2</v>
      </c>
      <c r="I8" s="123">
        <v>1713.5999999999985</v>
      </c>
      <c r="J8" s="121">
        <v>0</v>
      </c>
      <c r="K8" s="121">
        <v>0</v>
      </c>
      <c r="M8" s="124">
        <v>2009</v>
      </c>
      <c r="N8" s="125">
        <v>7314.5</v>
      </c>
      <c r="O8" s="125">
        <v>7359.9</v>
      </c>
      <c r="P8" s="124">
        <v>1</v>
      </c>
      <c r="Q8" s="124">
        <v>0</v>
      </c>
    </row>
    <row r="9" spans="1:17">
      <c r="A9" s="121">
        <v>2010</v>
      </c>
      <c r="B9" s="122">
        <v>19993.8</v>
      </c>
      <c r="C9" s="122">
        <v>38048.6</v>
      </c>
      <c r="D9" s="121">
        <v>0</v>
      </c>
      <c r="E9" s="121">
        <v>0</v>
      </c>
      <c r="G9" s="121">
        <v>2011</v>
      </c>
      <c r="H9" s="123">
        <v>9656.2999999999993</v>
      </c>
      <c r="I9" s="123">
        <v>1695.6000000000058</v>
      </c>
      <c r="J9" s="121">
        <v>0</v>
      </c>
      <c r="K9" s="121">
        <v>0</v>
      </c>
      <c r="M9" s="121">
        <v>2010</v>
      </c>
      <c r="N9" s="123">
        <v>7205.7</v>
      </c>
      <c r="O9" s="123">
        <v>7314.5</v>
      </c>
      <c r="P9" s="121">
        <v>0</v>
      </c>
      <c r="Q9" s="121">
        <v>0</v>
      </c>
    </row>
    <row r="10" spans="1:17">
      <c r="A10" s="121">
        <v>2011</v>
      </c>
      <c r="B10" s="122">
        <v>21356.2</v>
      </c>
      <c r="C10" s="122">
        <v>39762.199999999997</v>
      </c>
      <c r="D10" s="121">
        <v>0</v>
      </c>
      <c r="E10" s="121">
        <v>0</v>
      </c>
      <c r="G10" s="121">
        <v>2012</v>
      </c>
      <c r="H10" s="126">
        <v>10084.8629609</v>
      </c>
      <c r="I10" s="126">
        <v>1515.6999999999971</v>
      </c>
      <c r="J10" s="121">
        <v>0</v>
      </c>
      <c r="K10" s="121">
        <v>0</v>
      </c>
      <c r="M10" s="121">
        <v>2011</v>
      </c>
      <c r="N10" s="123">
        <v>7306.7</v>
      </c>
      <c r="O10" s="123">
        <v>7205.7</v>
      </c>
      <c r="P10" s="121">
        <v>0</v>
      </c>
      <c r="Q10" s="121">
        <v>0</v>
      </c>
    </row>
    <row r="11" spans="1:17">
      <c r="A11" s="121">
        <v>2012</v>
      </c>
      <c r="B11" s="127">
        <v>23053.8</v>
      </c>
      <c r="C11" s="122">
        <v>41457.800000000003</v>
      </c>
      <c r="D11" s="121">
        <v>0</v>
      </c>
      <c r="E11" s="121">
        <v>0</v>
      </c>
      <c r="G11" s="121">
        <v>2013</v>
      </c>
      <c r="H11" s="126">
        <v>9525.0478595999994</v>
      </c>
      <c r="I11" s="126">
        <v>767.20411147509731</v>
      </c>
      <c r="J11" s="121">
        <v>0</v>
      </c>
      <c r="K11" s="121">
        <v>0</v>
      </c>
      <c r="M11" s="121">
        <v>2012</v>
      </c>
      <c r="N11" s="126">
        <v>7498.7</v>
      </c>
      <c r="O11" s="123">
        <v>7306.7</v>
      </c>
      <c r="P11" s="121">
        <v>0</v>
      </c>
      <c r="Q11" s="121">
        <v>0</v>
      </c>
    </row>
    <row r="12" spans="1:17">
      <c r="A12" s="121">
        <v>2013</v>
      </c>
      <c r="B12" s="127">
        <v>24263.159764191099</v>
      </c>
      <c r="C12" s="127">
        <v>42973.5</v>
      </c>
      <c r="D12" s="121">
        <v>0</v>
      </c>
      <c r="E12" s="121">
        <v>0</v>
      </c>
      <c r="G12" s="121">
        <v>2014</v>
      </c>
      <c r="H12" s="126">
        <v>8947.7364885999996</v>
      </c>
      <c r="I12" s="126">
        <v>323.09334284420038</v>
      </c>
      <c r="J12" s="121">
        <v>0</v>
      </c>
      <c r="K12" s="121">
        <v>0</v>
      </c>
      <c r="M12" s="121">
        <v>2013</v>
      </c>
      <c r="N12" s="126">
        <v>7562.6711761688503</v>
      </c>
      <c r="O12" s="126">
        <v>7498.7</v>
      </c>
      <c r="P12" s="121">
        <v>0</v>
      </c>
      <c r="Q12" s="121">
        <v>0</v>
      </c>
    </row>
    <row r="13" spans="1:17">
      <c r="A13" s="121">
        <v>2014</v>
      </c>
      <c r="B13" s="127">
        <v>24736.3708425324</v>
      </c>
      <c r="C13" s="127">
        <v>43740.704111475097</v>
      </c>
      <c r="D13" s="121">
        <v>0</v>
      </c>
      <c r="E13" s="121">
        <v>0</v>
      </c>
      <c r="G13" s="124">
        <v>2015</v>
      </c>
      <c r="H13" s="128">
        <v>7848.3547778999991</v>
      </c>
      <c r="I13" s="128">
        <v>-1118.5164172023942</v>
      </c>
      <c r="J13" s="124">
        <v>0</v>
      </c>
      <c r="K13" s="124">
        <v>1</v>
      </c>
      <c r="M13" s="121">
        <v>2014</v>
      </c>
      <c r="N13" s="126">
        <v>7401.9951260520202</v>
      </c>
      <c r="O13" s="126">
        <v>7562.6711761688503</v>
      </c>
      <c r="P13" s="121">
        <v>0</v>
      </c>
      <c r="Q13" s="121">
        <v>0</v>
      </c>
    </row>
    <row r="14" spans="1:17">
      <c r="A14" s="124">
        <v>2015</v>
      </c>
      <c r="B14" s="129">
        <v>22418.535331585401</v>
      </c>
      <c r="C14" s="129">
        <v>44063.797454319298</v>
      </c>
      <c r="D14" s="124">
        <v>0</v>
      </c>
      <c r="E14" s="124">
        <v>1</v>
      </c>
      <c r="G14" s="124">
        <v>2016</v>
      </c>
      <c r="H14" s="128">
        <v>7700.6521864999995</v>
      </c>
      <c r="I14" s="128">
        <v>-74.136786629605922</v>
      </c>
      <c r="J14" s="124">
        <v>0</v>
      </c>
      <c r="K14" s="124">
        <v>1</v>
      </c>
      <c r="M14" s="124">
        <v>2015</v>
      </c>
      <c r="N14" s="128">
        <v>7170.7326642855796</v>
      </c>
      <c r="O14" s="128">
        <v>7401.9951260520202</v>
      </c>
      <c r="P14" s="124">
        <v>0</v>
      </c>
      <c r="Q14" s="124">
        <v>1</v>
      </c>
    </row>
    <row r="15" spans="1:17">
      <c r="A15" s="124">
        <v>2016</v>
      </c>
      <c r="B15" s="129">
        <v>21780.763210474499</v>
      </c>
      <c r="C15" s="129">
        <v>42945.281037116903</v>
      </c>
      <c r="D15" s="124">
        <v>0</v>
      </c>
      <c r="E15" s="124">
        <v>1</v>
      </c>
      <c r="G15" s="124">
        <v>2017</v>
      </c>
      <c r="H15" s="130">
        <v>8269.5079999999998</v>
      </c>
      <c r="I15" s="130">
        <v>662.60573864770413</v>
      </c>
      <c r="J15" s="124">
        <v>0</v>
      </c>
      <c r="K15" s="124">
        <v>1</v>
      </c>
      <c r="M15" s="124">
        <v>2016</v>
      </c>
      <c r="N15" s="128">
        <v>7238.2651898854401</v>
      </c>
      <c r="O15" s="128">
        <v>7170.7326642855796</v>
      </c>
      <c r="P15" s="124">
        <v>0</v>
      </c>
      <c r="Q15" s="124">
        <v>1</v>
      </c>
    </row>
    <row r="16" spans="1:17">
      <c r="A16" s="124">
        <v>2017</v>
      </c>
      <c r="B16" s="131">
        <v>22511.920513599998</v>
      </c>
      <c r="C16" s="129">
        <v>42871.144250487298</v>
      </c>
      <c r="D16" s="124">
        <v>0</v>
      </c>
      <c r="E16" s="124">
        <v>1</v>
      </c>
      <c r="M16" s="124">
        <v>2017</v>
      </c>
      <c r="N16" s="130">
        <v>7264.2719268000001</v>
      </c>
      <c r="O16" s="128">
        <v>7238.2651898854401</v>
      </c>
      <c r="P16" s="124">
        <v>0</v>
      </c>
      <c r="Q16" s="124">
        <v>1</v>
      </c>
    </row>
    <row r="18" spans="1:16">
      <c r="A18" s="118" t="s">
        <v>45</v>
      </c>
      <c r="B18" s="118" t="s">
        <v>35</v>
      </c>
      <c r="C18" s="118" t="s">
        <v>36</v>
      </c>
      <c r="D18" s="118" t="s">
        <v>37</v>
      </c>
      <c r="G18" s="118" t="s">
        <v>42</v>
      </c>
      <c r="H18" s="118" t="s">
        <v>43</v>
      </c>
      <c r="I18" s="118" t="s">
        <v>44</v>
      </c>
      <c r="J18" s="118" t="s">
        <v>49</v>
      </c>
      <c r="M18" s="118" t="s">
        <v>46</v>
      </c>
      <c r="N18" s="118" t="s">
        <v>47</v>
      </c>
      <c r="O18" s="118" t="s">
        <v>48</v>
      </c>
      <c r="P18" s="132"/>
    </row>
    <row r="19" spans="1:16">
      <c r="A19" s="133">
        <f t="array" ref="A19:D23">LINEST(B2:B16,C2:E16,1,1)</f>
        <v>-2009.1504072576204</v>
      </c>
      <c r="B19" s="133">
        <v>-3606.3102911452356</v>
      </c>
      <c r="C19" s="133">
        <v>0.83968400739984861</v>
      </c>
      <c r="D19" s="133">
        <v>-12106.558545496844</v>
      </c>
      <c r="G19" s="134">
        <f t="array" ref="G19:J23">LINEST(H2:H15,I2:K15,1,1)</f>
        <v>-1205.8714683743701</v>
      </c>
      <c r="H19" s="134">
        <v>-3663.3644301139179</v>
      </c>
      <c r="I19" s="134">
        <v>-0.23850034313693494</v>
      </c>
      <c r="J19" s="134">
        <v>9103.2376223992633</v>
      </c>
      <c r="M19" s="135">
        <f t="array" ref="M19:O23">LINEST(N2:N16,O2:Q16,0,1)</f>
        <v>-141.20014024193026</v>
      </c>
      <c r="N19" s="135">
        <v>-141.86639033044486</v>
      </c>
      <c r="O19" s="135">
        <v>1.0131070245968619</v>
      </c>
      <c r="P19" s="132"/>
    </row>
    <row r="20" spans="1:16">
      <c r="A20" s="136">
        <v>306.16646073646712</v>
      </c>
      <c r="B20" s="136">
        <v>437.94240852767524</v>
      </c>
      <c r="C20" s="136">
        <v>2.3018906433872478E-2</v>
      </c>
      <c r="D20" s="136">
        <v>851.71672124659347</v>
      </c>
      <c r="G20" s="134">
        <v>1370.4059982942374</v>
      </c>
      <c r="H20" s="134">
        <v>2960.5643244718822</v>
      </c>
      <c r="I20" s="134">
        <v>0.51009082361297442</v>
      </c>
      <c r="J20" s="134">
        <v>1020.2448798906851</v>
      </c>
      <c r="M20" s="137">
        <v>88.015840747038169</v>
      </c>
      <c r="N20" s="137">
        <v>140.68530636448227</v>
      </c>
      <c r="O20" s="137">
        <v>5.7467663531035442E-3</v>
      </c>
      <c r="P20" s="132"/>
    </row>
    <row r="21" spans="1:16">
      <c r="A21" s="136">
        <v>0.99279877126980542</v>
      </c>
      <c r="B21" s="133">
        <v>406.51906502949629</v>
      </c>
      <c r="C21" s="136" t="e">
        <v>#N/A</v>
      </c>
      <c r="D21" s="136" t="e">
        <v>#N/A</v>
      </c>
      <c r="G21" s="134">
        <v>0.24816572011570037</v>
      </c>
      <c r="H21" s="134">
        <v>1410.9697881035831</v>
      </c>
      <c r="I21" s="134" t="e">
        <v>#N/A</v>
      </c>
      <c r="J21" s="134" t="e">
        <v>#N/A</v>
      </c>
      <c r="M21" s="137">
        <v>0.99971936106016668</v>
      </c>
      <c r="N21" s="135">
        <v>134.17688129860107</v>
      </c>
      <c r="O21" s="137" t="e">
        <v>#N/A</v>
      </c>
      <c r="P21" s="132"/>
    </row>
    <row r="22" spans="1:16">
      <c r="A22" s="136">
        <v>505.50569877875176</v>
      </c>
      <c r="B22" s="136">
        <v>11</v>
      </c>
      <c r="C22" s="136" t="e">
        <v>#N/A</v>
      </c>
      <c r="D22" s="136" t="e">
        <v>#N/A</v>
      </c>
      <c r="G22" s="134">
        <v>1.1002678238875143</v>
      </c>
      <c r="H22" s="134">
        <v>10</v>
      </c>
      <c r="I22" s="134" t="e">
        <v>#N/A</v>
      </c>
      <c r="J22" s="134" t="e">
        <v>#N/A</v>
      </c>
      <c r="M22" s="137">
        <v>14249.189533767762</v>
      </c>
      <c r="N22" s="137">
        <v>12</v>
      </c>
      <c r="O22" s="137" t="e">
        <v>#N/A</v>
      </c>
      <c r="P22" s="132"/>
    </row>
    <row r="23" spans="1:16">
      <c r="A23" s="136">
        <v>250616203.52958608</v>
      </c>
      <c r="B23" s="136">
        <v>1817835.2525570143</v>
      </c>
      <c r="C23" s="136" t="e">
        <v>#N/A</v>
      </c>
      <c r="D23" s="136" t="e">
        <v>#N/A</v>
      </c>
      <c r="G23" s="134">
        <v>6571357.5318097621</v>
      </c>
      <c r="H23" s="134">
        <v>19908357.429410703</v>
      </c>
      <c r="I23" s="134" t="e">
        <v>#N/A</v>
      </c>
      <c r="J23" s="134" t="e">
        <v>#N/A</v>
      </c>
      <c r="M23" s="137">
        <v>769603093.02750671</v>
      </c>
      <c r="N23" s="137">
        <v>216041.22570022655</v>
      </c>
      <c r="O23" s="137" t="e">
        <v>#N/A</v>
      </c>
      <c r="P23" s="132"/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B37" sqref="B37"/>
    </sheetView>
  </sheetViews>
  <sheetFormatPr defaultColWidth="9.140625" defaultRowHeight="15"/>
  <cols>
    <col min="1" max="1" width="11.42578125" style="45" bestFit="1" customWidth="1"/>
    <col min="2" max="2" width="12.140625" style="45" bestFit="1" customWidth="1"/>
    <col min="3" max="5" width="11.42578125" style="45" bestFit="1" customWidth="1"/>
    <col min="6" max="6" width="9.140625" style="45"/>
    <col min="7" max="7" width="11.42578125" style="73" bestFit="1" customWidth="1"/>
    <col min="8" max="8" width="11.42578125" style="79" bestFit="1" customWidth="1"/>
    <col min="9" max="9" width="9.140625" style="45"/>
    <col min="10" max="10" width="11.42578125" style="45" bestFit="1" customWidth="1"/>
    <col min="11" max="11" width="13" style="45" customWidth="1"/>
    <col min="12" max="12" width="9.140625" style="45"/>
    <col min="13" max="13" width="11.42578125" style="79" bestFit="1" customWidth="1"/>
    <col min="14" max="14" width="11.7109375" style="79" bestFit="1" customWidth="1"/>
    <col min="15" max="15" width="11.7109375" style="45" bestFit="1" customWidth="1"/>
    <col min="16" max="16" width="11.42578125" style="45" customWidth="1"/>
    <col min="17" max="17" width="11.7109375" style="45" bestFit="1" customWidth="1"/>
    <col min="18" max="16384" width="9.140625" style="45"/>
  </cols>
  <sheetData>
    <row r="1" spans="1:18" ht="30">
      <c r="A1" s="46" t="s">
        <v>15</v>
      </c>
      <c r="B1" s="59" t="s">
        <v>32</v>
      </c>
      <c r="C1" s="46" t="s">
        <v>33</v>
      </c>
      <c r="D1" s="46" t="s">
        <v>50</v>
      </c>
      <c r="I1" s="46" t="s">
        <v>15</v>
      </c>
      <c r="J1" s="46" t="s">
        <v>38</v>
      </c>
      <c r="K1" s="46" t="s">
        <v>41</v>
      </c>
      <c r="L1" s="46" t="s">
        <v>60</v>
      </c>
      <c r="O1" s="46" t="s">
        <v>15</v>
      </c>
      <c r="P1" s="46" t="s">
        <v>40</v>
      </c>
      <c r="Q1" s="46" t="s">
        <v>39</v>
      </c>
      <c r="R1" s="46" t="s">
        <v>61</v>
      </c>
    </row>
    <row r="2" spans="1:18">
      <c r="A2" s="47">
        <v>2003</v>
      </c>
      <c r="B2" s="47">
        <v>11159.8</v>
      </c>
      <c r="C2" s="47">
        <v>27312.3</v>
      </c>
      <c r="D2" s="9">
        <f t="shared" ref="D2:D16" si="0">ABS(C2)</f>
        <v>27312.3</v>
      </c>
      <c r="I2" s="47">
        <v>2016</v>
      </c>
      <c r="J2" s="56">
        <v>7700.6521864999995</v>
      </c>
      <c r="K2" s="56">
        <v>-74.136786629605922</v>
      </c>
      <c r="L2" s="9">
        <f t="shared" ref="L2:L16" si="1">ABS(K2)</f>
        <v>74.136786629605922</v>
      </c>
      <c r="O2" s="47">
        <v>2003</v>
      </c>
      <c r="P2" s="54">
        <v>6540.2</v>
      </c>
      <c r="Q2" s="54">
        <v>6390</v>
      </c>
      <c r="R2" s="9">
        <f t="shared" ref="R2:R16" si="2">ABS(Q2)</f>
        <v>6390</v>
      </c>
    </row>
    <row r="3" spans="1:18">
      <c r="A3" s="47">
        <v>2004</v>
      </c>
      <c r="B3" s="47">
        <v>12550.7</v>
      </c>
      <c r="C3" s="47">
        <v>29304.9</v>
      </c>
      <c r="D3" s="9">
        <f t="shared" si="0"/>
        <v>29304.9</v>
      </c>
      <c r="I3" s="47">
        <v>2014</v>
      </c>
      <c r="J3" s="56">
        <v>8947.7364885999996</v>
      </c>
      <c r="K3" s="56">
        <v>323.09334284420038</v>
      </c>
      <c r="L3" s="9">
        <f t="shared" si="1"/>
        <v>323.09334284420038</v>
      </c>
      <c r="O3" s="47">
        <v>2004</v>
      </c>
      <c r="P3" s="54">
        <v>6679</v>
      </c>
      <c r="Q3" s="54">
        <v>6540.2</v>
      </c>
      <c r="R3" s="9">
        <f t="shared" si="2"/>
        <v>6540.2</v>
      </c>
    </row>
    <row r="4" spans="1:18">
      <c r="A4" s="47">
        <v>2005</v>
      </c>
      <c r="B4" s="47">
        <v>14087.4</v>
      </c>
      <c r="C4" s="47">
        <v>31407.8</v>
      </c>
      <c r="D4" s="9">
        <f t="shared" si="0"/>
        <v>31407.8</v>
      </c>
      <c r="I4" s="47">
        <v>2017</v>
      </c>
      <c r="J4" s="56">
        <v>8269.5079999999998</v>
      </c>
      <c r="K4" s="56">
        <v>662.60573864770413</v>
      </c>
      <c r="L4" s="9">
        <f t="shared" si="1"/>
        <v>662.60573864770413</v>
      </c>
      <c r="O4" s="47">
        <v>2005</v>
      </c>
      <c r="P4" s="54">
        <v>6775.3</v>
      </c>
      <c r="Q4" s="54">
        <v>6679</v>
      </c>
      <c r="R4" s="9">
        <f t="shared" si="2"/>
        <v>6679</v>
      </c>
    </row>
    <row r="5" spans="1:18">
      <c r="A5" s="47">
        <v>2006</v>
      </c>
      <c r="B5" s="47">
        <v>15799.7</v>
      </c>
      <c r="C5" s="47">
        <v>33410.5</v>
      </c>
      <c r="D5" s="9">
        <f t="shared" si="0"/>
        <v>33410.5</v>
      </c>
      <c r="I5" s="47">
        <v>2013</v>
      </c>
      <c r="J5" s="56">
        <v>9525.0478595999994</v>
      </c>
      <c r="K5" s="56">
        <v>767.20411147509731</v>
      </c>
      <c r="L5" s="9">
        <f t="shared" si="1"/>
        <v>767.20411147509731</v>
      </c>
      <c r="O5" s="47">
        <v>2006</v>
      </c>
      <c r="P5" s="54">
        <v>6931.9</v>
      </c>
      <c r="Q5" s="54">
        <v>6775.3</v>
      </c>
      <c r="R5" s="9">
        <f t="shared" si="2"/>
        <v>6775.3</v>
      </c>
    </row>
    <row r="6" spans="1:18">
      <c r="A6" s="47">
        <v>2007</v>
      </c>
      <c r="B6" s="47">
        <v>18060.8</v>
      </c>
      <c r="C6" s="47">
        <v>36134.6</v>
      </c>
      <c r="D6" s="9">
        <f t="shared" si="0"/>
        <v>36134.6</v>
      </c>
      <c r="I6" s="47">
        <v>2015</v>
      </c>
      <c r="J6" s="56">
        <v>7848.3547778999991</v>
      </c>
      <c r="K6" s="56">
        <v>-1118.5164172023942</v>
      </c>
      <c r="L6" s="9">
        <f t="shared" si="1"/>
        <v>1118.5164172023942</v>
      </c>
      <c r="O6" s="47">
        <v>2007</v>
      </c>
      <c r="P6" s="54">
        <v>7120.7</v>
      </c>
      <c r="Q6" s="54">
        <v>6931.9</v>
      </c>
      <c r="R6" s="9">
        <f t="shared" si="2"/>
        <v>6931.9</v>
      </c>
    </row>
    <row r="7" spans="1:18">
      <c r="A7" s="57">
        <v>2010</v>
      </c>
      <c r="B7" s="57">
        <v>19993.8</v>
      </c>
      <c r="C7" s="57">
        <v>38048.6</v>
      </c>
      <c r="D7" s="9">
        <f t="shared" si="0"/>
        <v>38048.6</v>
      </c>
      <c r="I7" s="57">
        <v>2012</v>
      </c>
      <c r="J7" s="72">
        <v>10084.8629609</v>
      </c>
      <c r="K7" s="72">
        <v>1515.6999999999971</v>
      </c>
      <c r="L7" s="9">
        <f t="shared" si="1"/>
        <v>1515.6999999999971</v>
      </c>
      <c r="O7" s="9">
        <v>2008</v>
      </c>
      <c r="P7" s="53">
        <v>7359.9</v>
      </c>
      <c r="Q7" s="53">
        <v>7120.7</v>
      </c>
      <c r="R7" s="9">
        <f t="shared" si="2"/>
        <v>7120.7</v>
      </c>
    </row>
    <row r="8" spans="1:18">
      <c r="A8" s="9">
        <v>2008</v>
      </c>
      <c r="B8" s="15">
        <v>19967</v>
      </c>
      <c r="C8" s="15">
        <v>39218.699999999997</v>
      </c>
      <c r="D8" s="9">
        <f t="shared" si="0"/>
        <v>39218.699999999997</v>
      </c>
      <c r="I8" s="57">
        <v>2011</v>
      </c>
      <c r="J8" s="71">
        <v>9656.2999999999993</v>
      </c>
      <c r="K8" s="71">
        <v>1695.6000000000058</v>
      </c>
      <c r="L8" s="9">
        <f t="shared" si="1"/>
        <v>1695.6000000000058</v>
      </c>
      <c r="O8" s="15">
        <v>2016</v>
      </c>
      <c r="P8" s="55">
        <v>7238.2651898854401</v>
      </c>
      <c r="Q8" s="55">
        <v>7170.7326642855796</v>
      </c>
      <c r="R8" s="9">
        <f t="shared" si="2"/>
        <v>7170.7326642855796</v>
      </c>
    </row>
    <row r="9" spans="1:18">
      <c r="A9" s="57">
        <v>2011</v>
      </c>
      <c r="B9" s="57">
        <v>21356.2</v>
      </c>
      <c r="C9" s="57">
        <v>39762.199999999997</v>
      </c>
      <c r="D9" s="9">
        <f t="shared" si="0"/>
        <v>39762.199999999997</v>
      </c>
      <c r="I9" s="57">
        <v>2010</v>
      </c>
      <c r="J9" s="71">
        <v>7982.2</v>
      </c>
      <c r="K9" s="71">
        <v>1713.5999999999985</v>
      </c>
      <c r="L9" s="9">
        <f t="shared" si="1"/>
        <v>1713.5999999999985</v>
      </c>
      <c r="O9" s="15">
        <v>2011</v>
      </c>
      <c r="P9" s="53">
        <v>7306.7</v>
      </c>
      <c r="Q9" s="53">
        <v>7205.7</v>
      </c>
      <c r="R9" s="9">
        <f t="shared" si="2"/>
        <v>7205.7</v>
      </c>
    </row>
    <row r="10" spans="1:18">
      <c r="A10" s="57">
        <v>2009</v>
      </c>
      <c r="B10" s="57">
        <v>18946.599999999999</v>
      </c>
      <c r="C10" s="57">
        <v>41276.800000000003</v>
      </c>
      <c r="D10" s="9">
        <f t="shared" si="0"/>
        <v>41276.800000000003</v>
      </c>
      <c r="I10" s="9">
        <v>2003</v>
      </c>
      <c r="J10" s="53">
        <v>5396.9</v>
      </c>
      <c r="K10" s="71">
        <v>1992.6000000000022</v>
      </c>
      <c r="L10" s="9">
        <f t="shared" si="1"/>
        <v>1992.6000000000022</v>
      </c>
      <c r="O10" s="15">
        <v>2017</v>
      </c>
      <c r="P10" s="55">
        <v>7264.2719268000001</v>
      </c>
      <c r="Q10" s="55">
        <v>7238.2651898854401</v>
      </c>
      <c r="R10" s="9">
        <f t="shared" si="2"/>
        <v>7238.2651898854401</v>
      </c>
    </row>
    <row r="11" spans="1:18">
      <c r="A11" s="57">
        <v>2012</v>
      </c>
      <c r="B11" s="58">
        <v>23053.8</v>
      </c>
      <c r="C11" s="57">
        <v>41457.800000000003</v>
      </c>
      <c r="D11" s="9">
        <f t="shared" si="0"/>
        <v>41457.800000000003</v>
      </c>
      <c r="I11" s="9">
        <v>2005</v>
      </c>
      <c r="J11" s="53">
        <v>6631.1</v>
      </c>
      <c r="K11" s="71">
        <v>2002.7000000000007</v>
      </c>
      <c r="L11" s="9">
        <f t="shared" si="1"/>
        <v>2002.7000000000007</v>
      </c>
      <c r="O11" s="15">
        <v>2012</v>
      </c>
      <c r="P11" s="55">
        <v>7498.7</v>
      </c>
      <c r="Q11" s="53">
        <v>7306.7</v>
      </c>
      <c r="R11" s="9">
        <f t="shared" si="2"/>
        <v>7306.7</v>
      </c>
    </row>
    <row r="12" spans="1:18">
      <c r="A12" s="37">
        <v>2017</v>
      </c>
      <c r="B12" s="38">
        <v>22511.920513599998</v>
      </c>
      <c r="C12" s="38">
        <v>42871.144250487298</v>
      </c>
      <c r="D12" s="9">
        <f t="shared" si="0"/>
        <v>42871.144250487298</v>
      </c>
      <c r="I12" s="37">
        <v>2008</v>
      </c>
      <c r="J12" s="75">
        <v>10526.1</v>
      </c>
      <c r="K12" s="75">
        <v>2058.1000000000058</v>
      </c>
      <c r="L12" s="9">
        <f t="shared" si="1"/>
        <v>2058.1000000000058</v>
      </c>
      <c r="O12" s="37">
        <v>2010</v>
      </c>
      <c r="P12" s="75">
        <v>7205.7</v>
      </c>
      <c r="Q12" s="75">
        <v>7314.5</v>
      </c>
      <c r="R12" s="9">
        <f t="shared" si="2"/>
        <v>7314.5</v>
      </c>
    </row>
    <row r="13" spans="1:18">
      <c r="A13" s="37">
        <v>2016</v>
      </c>
      <c r="B13" s="38">
        <v>21780.763210474499</v>
      </c>
      <c r="C13" s="38">
        <v>42945.281037116903</v>
      </c>
      <c r="D13" s="9">
        <f t="shared" si="0"/>
        <v>42945.281037116903</v>
      </c>
      <c r="I13" s="37">
        <v>2004</v>
      </c>
      <c r="J13" s="75">
        <v>6056.2</v>
      </c>
      <c r="K13" s="75">
        <v>2102.8999999999978</v>
      </c>
      <c r="L13" s="9">
        <f t="shared" si="1"/>
        <v>2102.8999999999978</v>
      </c>
      <c r="O13" s="37">
        <v>2009</v>
      </c>
      <c r="P13" s="75">
        <v>7314.5</v>
      </c>
      <c r="Q13" s="75">
        <v>7359.9</v>
      </c>
      <c r="R13" s="9">
        <f t="shared" si="2"/>
        <v>7359.9</v>
      </c>
    </row>
    <row r="14" spans="1:18">
      <c r="A14" s="37">
        <v>2013</v>
      </c>
      <c r="B14" s="38">
        <v>24263.159764191099</v>
      </c>
      <c r="C14" s="38">
        <v>42973.5</v>
      </c>
      <c r="D14" s="9">
        <f t="shared" si="0"/>
        <v>42973.5</v>
      </c>
      <c r="I14" s="37">
        <v>2006</v>
      </c>
      <c r="J14" s="75">
        <v>7806.4</v>
      </c>
      <c r="K14" s="75">
        <v>2724.0999999999985</v>
      </c>
      <c r="L14" s="9">
        <f t="shared" si="1"/>
        <v>2724.0999999999985</v>
      </c>
      <c r="O14" s="37">
        <v>2015</v>
      </c>
      <c r="P14" s="77">
        <v>7170.7326642855796</v>
      </c>
      <c r="Q14" s="77">
        <v>7401.9951260520202</v>
      </c>
      <c r="R14" s="9">
        <f t="shared" si="2"/>
        <v>7401.9951260520202</v>
      </c>
    </row>
    <row r="15" spans="1:18">
      <c r="A15" s="37">
        <v>2014</v>
      </c>
      <c r="B15" s="38">
        <v>24736.3708425324</v>
      </c>
      <c r="C15" s="38">
        <v>43740.704111475097</v>
      </c>
      <c r="D15" s="9">
        <f t="shared" si="0"/>
        <v>43740.704111475097</v>
      </c>
      <c r="I15" s="37">
        <v>2007</v>
      </c>
      <c r="J15" s="75">
        <v>9526.5</v>
      </c>
      <c r="K15" s="75">
        <v>3084.0999999999985</v>
      </c>
      <c r="L15" s="9">
        <f t="shared" si="1"/>
        <v>3084.0999999999985</v>
      </c>
      <c r="O15" s="37">
        <v>2013</v>
      </c>
      <c r="P15" s="77">
        <v>7562.6711761688503</v>
      </c>
      <c r="Q15" s="77">
        <v>7498.7</v>
      </c>
      <c r="R15" s="9">
        <f t="shared" si="2"/>
        <v>7498.7</v>
      </c>
    </row>
    <row r="16" spans="1:18">
      <c r="A16" s="37">
        <v>2015</v>
      </c>
      <c r="B16" s="38">
        <v>22418.535331585401</v>
      </c>
      <c r="C16" s="38">
        <v>44063.797454319298</v>
      </c>
      <c r="D16" s="9">
        <f t="shared" si="0"/>
        <v>44063.797454319298</v>
      </c>
      <c r="I16" s="37">
        <v>2009</v>
      </c>
      <c r="J16" s="76">
        <v>6209.8</v>
      </c>
      <c r="K16" s="76">
        <v>-3228.2000000000044</v>
      </c>
      <c r="L16" s="9">
        <f t="shared" si="1"/>
        <v>3228.2000000000044</v>
      </c>
      <c r="O16" s="37">
        <v>2014</v>
      </c>
      <c r="P16" s="78">
        <v>7401.9951260520202</v>
      </c>
      <c r="Q16" s="77">
        <v>7562.6711761688503</v>
      </c>
      <c r="R16" s="9">
        <f t="shared" si="2"/>
        <v>7562.6711761688503</v>
      </c>
    </row>
    <row r="18" spans="1:18">
      <c r="A18" s="47" t="s">
        <v>36</v>
      </c>
      <c r="B18" s="47" t="s">
        <v>37</v>
      </c>
      <c r="D18" s="37" t="s">
        <v>36</v>
      </c>
      <c r="E18" s="37" t="s">
        <v>37</v>
      </c>
      <c r="H18" s="47" t="s">
        <v>44</v>
      </c>
      <c r="I18" s="47" t="s">
        <v>49</v>
      </c>
      <c r="J18"/>
      <c r="K18" s="37" t="s">
        <v>44</v>
      </c>
      <c r="L18" s="37" t="s">
        <v>49</v>
      </c>
      <c r="N18" s="47" t="s">
        <v>48</v>
      </c>
      <c r="O18" s="47" t="s">
        <v>62</v>
      </c>
      <c r="Q18" s="37" t="s">
        <v>48</v>
      </c>
      <c r="R18" s="37" t="s">
        <v>62</v>
      </c>
    </row>
    <row r="19" spans="1:18">
      <c r="A19" s="9">
        <f t="array" ref="A19:B23">LINEST(B2:B6,C2:C6,1,1)</f>
        <v>0.78544171258964302</v>
      </c>
      <c r="B19" s="9">
        <v>-10420.745839384259</v>
      </c>
      <c r="C19" s="61"/>
      <c r="D19" s="9">
        <f t="array" ref="D19:E23">LINEST(B12:B16,C12:C16,1,1)</f>
        <v>0.45049188853252559</v>
      </c>
      <c r="E19" s="9">
        <v>3627.343452715173</v>
      </c>
      <c r="H19" s="9">
        <f t="array" ref="H19:I23">LINEST(J2:J6,K2:K6,1,1)</f>
        <v>0.68357246178184128</v>
      </c>
      <c r="I19" s="9">
        <v>8381.6655696627477</v>
      </c>
      <c r="K19" s="9">
        <f t="array" ref="K19:L23">LINEST(J12:J16,K12:K16,1,1)</f>
        <v>0.40494269540830097</v>
      </c>
      <c r="L19" s="9">
        <v>7479.0562580505284</v>
      </c>
      <c r="N19" s="9">
        <f t="array" ref="N19:O23">LINEST(P2:P6,Q2:Q6,0,1)</f>
        <v>1.0219672860320874</v>
      </c>
      <c r="O19" s="9">
        <v>0</v>
      </c>
      <c r="Q19" s="57">
        <f t="array" ref="Q19:R23">LINEST(P12:P16,Q12:Q16,0,1)</f>
        <v>0.98703368343658138</v>
      </c>
      <c r="R19" s="9">
        <v>0</v>
      </c>
    </row>
    <row r="20" spans="1:18">
      <c r="A20" s="9">
        <v>1.9628195279387847E-2</v>
      </c>
      <c r="B20" s="9">
        <v>621.51431291846143</v>
      </c>
      <c r="C20" s="61"/>
      <c r="D20" s="9">
        <v>1.3304163975641199</v>
      </c>
      <c r="E20" s="9">
        <v>57635.81671140957</v>
      </c>
      <c r="H20" s="9">
        <v>0.42703445349741509</v>
      </c>
      <c r="I20" s="9">
        <v>295.15545543899219</v>
      </c>
      <c r="K20" s="9">
        <v>0.3742685501880193</v>
      </c>
      <c r="L20" s="9">
        <v>1004.4301483007372</v>
      </c>
      <c r="N20" s="9">
        <v>2.1365806231534432E-3</v>
      </c>
      <c r="O20" s="9" t="e">
        <v>#N/A</v>
      </c>
      <c r="Q20" s="57">
        <v>6.7919598547603243E-3</v>
      </c>
      <c r="R20" s="9" t="e">
        <v>#N/A</v>
      </c>
    </row>
    <row r="21" spans="1:18">
      <c r="A21" s="9">
        <v>0.99813000183086409</v>
      </c>
      <c r="B21" s="9">
        <v>135.26709326998667</v>
      </c>
      <c r="C21" s="61"/>
      <c r="D21" s="9">
        <v>3.6811932099988676E-2</v>
      </c>
      <c r="E21" s="9">
        <v>1452.6346413273782</v>
      </c>
      <c r="H21" s="9">
        <v>0.4606623790233586</v>
      </c>
      <c r="I21" s="9">
        <v>651.25723035276883</v>
      </c>
      <c r="K21" s="9">
        <v>0.28068459403764456</v>
      </c>
      <c r="L21" s="9">
        <v>1941.996402959717</v>
      </c>
      <c r="N21" s="9">
        <v>0.99998251695878138</v>
      </c>
      <c r="O21" s="9">
        <v>31.846612871817744</v>
      </c>
      <c r="Q21" s="57">
        <v>0.99981063312348584</v>
      </c>
      <c r="R21" s="9">
        <v>112.81281082062441</v>
      </c>
    </row>
    <row r="22" spans="1:18" ht="60">
      <c r="A22" s="9">
        <v>1601.2796455711398</v>
      </c>
      <c r="B22" s="60">
        <v>3</v>
      </c>
      <c r="C22" s="62" t="s">
        <v>52</v>
      </c>
      <c r="D22" s="9">
        <v>0.11465652449447743</v>
      </c>
      <c r="E22" s="60">
        <v>3</v>
      </c>
      <c r="F22" s="62" t="s">
        <v>54</v>
      </c>
      <c r="H22" s="9">
        <v>2.5623785238039778</v>
      </c>
      <c r="I22" s="60">
        <v>3</v>
      </c>
      <c r="K22" s="9">
        <v>1.1706322082541376</v>
      </c>
      <c r="L22" s="60">
        <v>3</v>
      </c>
      <c r="N22" s="85">
        <v>228789.14588272083</v>
      </c>
      <c r="O22" s="84">
        <v>4</v>
      </c>
      <c r="Q22" s="83">
        <v>21119.018310458723</v>
      </c>
      <c r="R22" s="84">
        <v>4</v>
      </c>
    </row>
    <row r="23" spans="1:18">
      <c r="A23" s="9">
        <v>29298912.348434865</v>
      </c>
      <c r="B23" s="60">
        <v>54891.55956513383</v>
      </c>
      <c r="C23" s="62" t="s">
        <v>51</v>
      </c>
      <c r="D23" s="9">
        <v>241942.16719084792</v>
      </c>
      <c r="E23" s="60">
        <v>6330442.2035529613</v>
      </c>
      <c r="F23" s="62" t="s">
        <v>53</v>
      </c>
      <c r="H23" s="9">
        <v>1086796.9265468637</v>
      </c>
      <c r="I23" s="60">
        <v>1272407.9402602781</v>
      </c>
      <c r="K23" s="9">
        <v>4414863.8126745652</v>
      </c>
      <c r="L23" s="60">
        <v>11314050.087325437</v>
      </c>
      <c r="N23" s="85">
        <v>232039496.40299433</v>
      </c>
      <c r="O23" s="84">
        <v>4056.8270056297106</v>
      </c>
      <c r="Q23" s="83">
        <v>268776049.92646414</v>
      </c>
      <c r="R23" s="84">
        <v>50906.92114099997</v>
      </c>
    </row>
    <row r="24" spans="1:18" ht="15.75" thickBot="1">
      <c r="O24" s="79"/>
    </row>
    <row r="25" spans="1:18" ht="15.75" customHeight="1" thickBot="1">
      <c r="A25" s="63" t="s">
        <v>55</v>
      </c>
      <c r="B25" s="65">
        <f>B23/E23</f>
        <v>8.6710466346767903E-3</v>
      </c>
      <c r="D25" s="68" t="s">
        <v>58</v>
      </c>
      <c r="E25" s="69">
        <f>_xlfn.F.INV(1-B27,B22,E22)</f>
        <v>9.2766281531448058</v>
      </c>
      <c r="H25" s="63" t="s">
        <v>55</v>
      </c>
      <c r="I25" s="65">
        <f>I23/L23</f>
        <v>0.11246263985393638</v>
      </c>
      <c r="K25" s="68" t="s">
        <v>58</v>
      </c>
      <c r="L25" s="69">
        <f>_xlfn.F.INV(1-I27,I22,L22)</f>
        <v>9.2766281531448058</v>
      </c>
      <c r="N25" s="63" t="s">
        <v>55</v>
      </c>
      <c r="O25" s="65">
        <f>O23/R23</f>
        <v>7.9691069793698041E-2</v>
      </c>
      <c r="Q25" s="68" t="s">
        <v>58</v>
      </c>
      <c r="R25" s="69">
        <f>_xlfn.F.INV(1-O27,O22,R22)</f>
        <v>6.3882329086958638</v>
      </c>
    </row>
    <row r="26" spans="1:18" ht="15.75" thickBot="1">
      <c r="A26" s="64" t="s">
        <v>56</v>
      </c>
      <c r="B26" s="66">
        <f>1/B25</f>
        <v>115.32633165653301</v>
      </c>
      <c r="F26" s="70"/>
      <c r="H26" s="64" t="s">
        <v>56</v>
      </c>
      <c r="I26" s="66">
        <f>1/I25</f>
        <v>8.891841782291209</v>
      </c>
      <c r="N26" s="64" t="s">
        <v>56</v>
      </c>
      <c r="O26" s="66">
        <f>1/O25</f>
        <v>12.54845746943505</v>
      </c>
    </row>
    <row r="27" spans="1:18">
      <c r="A27" s="67" t="s">
        <v>57</v>
      </c>
      <c r="B27" s="61">
        <v>0.05</v>
      </c>
      <c r="F27" s="70"/>
      <c r="H27" s="80" t="s">
        <v>57</v>
      </c>
      <c r="I27" s="61">
        <v>0.05</v>
      </c>
      <c r="N27" s="80" t="s">
        <v>57</v>
      </c>
      <c r="O27" s="81">
        <v>0.05</v>
      </c>
    </row>
    <row r="28" spans="1:18">
      <c r="F28" s="70"/>
      <c r="G28" s="74"/>
      <c r="H28" s="86"/>
      <c r="I28" s="70"/>
      <c r="J28" s="70"/>
      <c r="K28" s="70"/>
      <c r="L28" s="70"/>
      <c r="M28" s="86"/>
      <c r="N28" s="86"/>
      <c r="O28" s="70"/>
      <c r="P28" s="70"/>
      <c r="Q28" s="70"/>
      <c r="R28" s="70"/>
    </row>
    <row r="29" spans="1:18">
      <c r="A29" s="154" t="s">
        <v>59</v>
      </c>
      <c r="B29" s="154"/>
      <c r="C29" s="154"/>
      <c r="D29" s="154"/>
      <c r="E29" s="154"/>
      <c r="F29" s="154"/>
      <c r="G29" s="74"/>
      <c r="H29" s="86"/>
      <c r="I29" s="70"/>
      <c r="J29" s="70"/>
      <c r="K29" s="70"/>
      <c r="L29" s="70"/>
      <c r="M29" s="86"/>
      <c r="N29" s="86"/>
      <c r="O29" s="70"/>
      <c r="P29" s="70"/>
      <c r="Q29" s="70"/>
      <c r="R29" s="70"/>
    </row>
    <row r="30" spans="1:18">
      <c r="A30" s="154"/>
      <c r="B30" s="154"/>
      <c r="C30" s="154"/>
      <c r="D30" s="154"/>
      <c r="E30" s="154"/>
      <c r="F30" s="154"/>
      <c r="G30" s="74"/>
      <c r="H30" s="86"/>
      <c r="I30" s="70"/>
      <c r="J30" s="70"/>
      <c r="K30" s="70"/>
      <c r="L30" s="70"/>
      <c r="M30" s="86"/>
      <c r="N30" s="86"/>
      <c r="O30" s="70"/>
      <c r="P30" s="70"/>
      <c r="Q30" s="70"/>
      <c r="R30" s="70"/>
    </row>
    <row r="31" spans="1:18">
      <c r="A31" s="154"/>
      <c r="B31" s="154"/>
      <c r="C31" s="154"/>
      <c r="D31" s="154"/>
      <c r="E31" s="154"/>
      <c r="F31" s="154"/>
      <c r="G31" s="74"/>
      <c r="H31" s="86"/>
      <c r="I31" s="70"/>
      <c r="J31" s="70"/>
      <c r="K31" s="70"/>
      <c r="L31" s="70"/>
      <c r="M31" s="86"/>
      <c r="N31" s="86"/>
      <c r="O31" s="70"/>
      <c r="P31" s="70"/>
      <c r="Q31" s="70"/>
      <c r="R31" s="70"/>
    </row>
    <row r="32" spans="1:18">
      <c r="A32" s="154"/>
      <c r="B32" s="154"/>
      <c r="C32" s="154"/>
      <c r="D32" s="154"/>
      <c r="E32" s="154"/>
      <c r="F32" s="154"/>
      <c r="G32" s="74"/>
      <c r="H32" s="86"/>
      <c r="I32" s="70"/>
      <c r="J32" s="70"/>
      <c r="K32" s="70"/>
      <c r="L32" s="70"/>
      <c r="M32" s="86"/>
      <c r="N32" s="86"/>
      <c r="O32" s="70"/>
      <c r="P32" s="70"/>
      <c r="Q32" s="70"/>
      <c r="R32" s="70"/>
    </row>
    <row r="33" spans="1:18">
      <c r="A33" s="154"/>
      <c r="B33" s="154"/>
      <c r="C33" s="154"/>
      <c r="D33" s="154"/>
      <c r="E33" s="154"/>
      <c r="F33" s="154"/>
      <c r="G33" s="74"/>
      <c r="H33" s="86"/>
      <c r="I33" s="70"/>
      <c r="J33" s="70"/>
      <c r="K33" s="70"/>
      <c r="L33" s="70"/>
      <c r="M33" s="86"/>
      <c r="N33" s="86"/>
      <c r="O33" s="70"/>
      <c r="P33" s="70"/>
      <c r="Q33" s="70"/>
      <c r="R33" s="70"/>
    </row>
    <row r="34" spans="1:18" ht="30" customHeight="1">
      <c r="A34" s="154"/>
      <c r="B34" s="154"/>
      <c r="C34" s="154"/>
      <c r="D34" s="154"/>
      <c r="E34" s="154"/>
      <c r="F34" s="154"/>
      <c r="G34" s="74"/>
      <c r="H34" s="86"/>
      <c r="I34" s="70"/>
      <c r="J34" s="70"/>
      <c r="K34" s="70"/>
      <c r="L34" s="70"/>
      <c r="M34" s="86"/>
      <c r="N34" s="86"/>
      <c r="O34" s="70"/>
      <c r="P34" s="70"/>
      <c r="Q34" s="70"/>
      <c r="R34" s="70"/>
    </row>
    <row r="35" spans="1:18">
      <c r="F35" s="70"/>
      <c r="G35" s="74"/>
      <c r="H35" s="86"/>
      <c r="I35" s="70"/>
      <c r="J35" s="70"/>
      <c r="K35" s="70"/>
      <c r="L35" s="70"/>
      <c r="M35" s="86"/>
      <c r="N35" s="86"/>
      <c r="O35" s="70"/>
      <c r="P35" s="70"/>
      <c r="Q35" s="70"/>
      <c r="R35" s="70"/>
    </row>
  </sheetData>
  <sortState ref="O2:R16">
    <sortCondition ref="R2:R16"/>
  </sortState>
  <mergeCells count="1">
    <mergeCell ref="A29:F3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F32" sqref="F32"/>
    </sheetView>
  </sheetViews>
  <sheetFormatPr defaultColWidth="9.140625" defaultRowHeight="15"/>
  <cols>
    <col min="1" max="3" width="12.42578125" style="82" bestFit="1" customWidth="1"/>
    <col min="4" max="4" width="11.42578125" style="82" bestFit="1" customWidth="1"/>
    <col min="5" max="5" width="12.42578125" style="82" bestFit="1" customWidth="1"/>
    <col min="6" max="6" width="12.140625" style="82" bestFit="1" customWidth="1"/>
    <col min="7" max="7" width="13.140625" style="82" bestFit="1" customWidth="1"/>
    <col min="8" max="8" width="13" style="82" bestFit="1" customWidth="1"/>
    <col min="9" max="9" width="12.28515625" style="82" bestFit="1" customWidth="1"/>
    <col min="10" max="10" width="11.42578125" style="82" bestFit="1" customWidth="1"/>
    <col min="11" max="11" width="12.7109375" style="82" customWidth="1"/>
    <col min="12" max="12" width="9.28515625" style="44" bestFit="1" customWidth="1"/>
    <col min="13" max="13" width="13" style="82" bestFit="1" customWidth="1"/>
    <col min="14" max="14" width="12.28515625" style="82" bestFit="1" customWidth="1"/>
    <col min="15" max="15" width="11.42578125" style="82" bestFit="1" customWidth="1"/>
    <col min="16" max="16" width="4.42578125" style="82" bestFit="1" customWidth="1"/>
    <col min="17" max="17" width="5.42578125" style="82" bestFit="1" customWidth="1"/>
    <col min="18" max="16384" width="9.140625" style="82"/>
  </cols>
  <sheetData>
    <row r="1" spans="1:18" ht="18.75">
      <c r="A1" s="46" t="s">
        <v>15</v>
      </c>
      <c r="B1" s="46" t="s">
        <v>32</v>
      </c>
      <c r="C1" s="46" t="s">
        <v>33</v>
      </c>
      <c r="D1" s="46" t="s">
        <v>31</v>
      </c>
      <c r="E1" s="59" t="s">
        <v>34</v>
      </c>
      <c r="F1" s="46" t="s">
        <v>65</v>
      </c>
      <c r="G1" s="46" t="s">
        <v>66</v>
      </c>
      <c r="H1" s="87"/>
      <c r="I1" s="46" t="s">
        <v>15</v>
      </c>
      <c r="J1" s="46" t="s">
        <v>38</v>
      </c>
      <c r="K1" s="46" t="s">
        <v>41</v>
      </c>
      <c r="L1" s="46" t="s">
        <v>31</v>
      </c>
      <c r="M1" s="46" t="s">
        <v>34</v>
      </c>
      <c r="N1" s="46" t="s">
        <v>65</v>
      </c>
      <c r="O1" s="46" t="s">
        <v>66</v>
      </c>
      <c r="P1" s="87"/>
      <c r="Q1" s="87"/>
      <c r="R1" s="87"/>
    </row>
    <row r="2" spans="1:18">
      <c r="A2" s="9">
        <v>2003</v>
      </c>
      <c r="B2" s="15">
        <v>11159.8</v>
      </c>
      <c r="C2" s="15">
        <v>27312.3</v>
      </c>
      <c r="D2" s="9">
        <v>0</v>
      </c>
      <c r="E2" s="10">
        <v>0</v>
      </c>
      <c r="F2" s="9">
        <f>B2-($D$19+$C$19*C2+$B$19*D2+$A$19*E2)</f>
        <v>332.65703018995737</v>
      </c>
      <c r="G2" s="17"/>
      <c r="H2" s="87"/>
      <c r="I2" s="57">
        <v>2004</v>
      </c>
      <c r="J2" s="71">
        <v>6056.2</v>
      </c>
      <c r="K2" s="71">
        <v>2102.8999999999978</v>
      </c>
      <c r="L2" s="57">
        <v>0</v>
      </c>
      <c r="M2" s="57">
        <v>0</v>
      </c>
      <c r="N2" s="9">
        <f t="shared" ref="N2:N15" si="0">J2-($L$18+$K$18*K2+$J$18*L2+$I$18*M2)</f>
        <v>-2545.4952508166034</v>
      </c>
      <c r="O2" s="17"/>
      <c r="P2" s="87"/>
      <c r="Q2" s="87"/>
      <c r="R2" s="87"/>
    </row>
    <row r="3" spans="1:18">
      <c r="A3" s="9">
        <v>2004</v>
      </c>
      <c r="B3" s="15">
        <v>12550.7</v>
      </c>
      <c r="C3" s="15">
        <v>29304.9</v>
      </c>
      <c r="D3" s="9">
        <v>0</v>
      </c>
      <c r="E3" s="10">
        <v>0</v>
      </c>
      <c r="F3" s="9">
        <f t="shared" ref="F3:F16" si="1">B3-($D$19+$C$19*C3+$B$19*D3+$A$19*E3)</f>
        <v>50.402677045020027</v>
      </c>
      <c r="G3" s="17">
        <f>(F3-F2)^2</f>
        <v>79667.519869266995</v>
      </c>
      <c r="H3" s="87"/>
      <c r="I3" s="57">
        <v>2005</v>
      </c>
      <c r="J3" s="71">
        <v>6631.1</v>
      </c>
      <c r="K3" s="71">
        <v>2002.7000000000007</v>
      </c>
      <c r="L3" s="57">
        <v>0</v>
      </c>
      <c r="M3" s="57">
        <v>0</v>
      </c>
      <c r="N3" s="9">
        <f t="shared" si="0"/>
        <v>-1994.4929851989236</v>
      </c>
      <c r="O3" s="17">
        <f>(N3-N2)^2</f>
        <v>303603.49671581615</v>
      </c>
      <c r="P3" s="87"/>
      <c r="Q3" s="87"/>
      <c r="R3" s="87"/>
    </row>
    <row r="4" spans="1:18">
      <c r="A4" s="9">
        <v>2005</v>
      </c>
      <c r="B4" s="15">
        <v>14087.4</v>
      </c>
      <c r="C4" s="15">
        <v>31407.8</v>
      </c>
      <c r="D4" s="9">
        <v>0</v>
      </c>
      <c r="E4" s="10">
        <v>0</v>
      </c>
      <c r="F4" s="9">
        <f t="shared" si="1"/>
        <v>-178.66882211612028</v>
      </c>
      <c r="G4" s="17">
        <f t="shared" ref="G4:G16" si="2">(F4-F3)^2</f>
        <v>52473.751727932307</v>
      </c>
      <c r="H4" s="87"/>
      <c r="I4" s="57">
        <v>2006</v>
      </c>
      <c r="J4" s="71">
        <v>7806.4</v>
      </c>
      <c r="K4" s="71">
        <v>2724.0999999999985</v>
      </c>
      <c r="L4" s="57">
        <v>0</v>
      </c>
      <c r="M4" s="57">
        <v>0</v>
      </c>
      <c r="N4" s="9">
        <f t="shared" si="0"/>
        <v>-647.13883765993887</v>
      </c>
      <c r="O4" s="17">
        <f t="shared" ref="O4:O15" si="3">(N4-N3)^2</f>
        <v>1815363.1988905044</v>
      </c>
      <c r="P4" s="87"/>
      <c r="Q4" s="87"/>
      <c r="R4" s="87"/>
    </row>
    <row r="5" spans="1:18">
      <c r="A5" s="9">
        <v>2006</v>
      </c>
      <c r="B5" s="15">
        <v>15799.7</v>
      </c>
      <c r="C5" s="15">
        <v>33410.5</v>
      </c>
      <c r="D5" s="9">
        <v>0</v>
      </c>
      <c r="E5" s="10">
        <v>0</v>
      </c>
      <c r="F5" s="9">
        <f t="shared" si="1"/>
        <v>-148.00398373579628</v>
      </c>
      <c r="G5" s="17">
        <f t="shared" si="2"/>
        <v>940.33231289139178</v>
      </c>
      <c r="H5" s="87"/>
      <c r="I5" s="57">
        <v>2007</v>
      </c>
      <c r="J5" s="71">
        <v>9526.5</v>
      </c>
      <c r="K5" s="71">
        <v>3084.0999999999985</v>
      </c>
      <c r="L5" s="57">
        <v>0</v>
      </c>
      <c r="M5" s="57">
        <v>0</v>
      </c>
      <c r="N5" s="9">
        <f t="shared" si="0"/>
        <v>1158.8212858693569</v>
      </c>
      <c r="O5" s="17">
        <f t="shared" si="3"/>
        <v>3261491.9677779493</v>
      </c>
      <c r="P5" s="87"/>
      <c r="Q5" s="87"/>
      <c r="R5" s="87"/>
    </row>
    <row r="6" spans="1:18">
      <c r="A6" s="9">
        <v>2007</v>
      </c>
      <c r="B6" s="15">
        <v>18060.8</v>
      </c>
      <c r="C6" s="15">
        <v>36134.6</v>
      </c>
      <c r="D6" s="9">
        <v>0</v>
      </c>
      <c r="E6" s="10">
        <v>0</v>
      </c>
      <c r="F6" s="9">
        <f t="shared" si="1"/>
        <v>-174.28718829372156</v>
      </c>
      <c r="G6" s="17">
        <f t="shared" si="2"/>
        <v>690.80684183374387</v>
      </c>
      <c r="H6" s="87"/>
      <c r="I6" s="57">
        <v>2008</v>
      </c>
      <c r="J6" s="71">
        <v>10526.1</v>
      </c>
      <c r="K6" s="71">
        <v>2058.1000000000058</v>
      </c>
      <c r="L6" s="57">
        <v>0</v>
      </c>
      <c r="M6" s="57">
        <v>0</v>
      </c>
      <c r="N6" s="9">
        <f t="shared" si="0"/>
        <v>1913.7199338108639</v>
      </c>
      <c r="O6" s="17">
        <f t="shared" si="3"/>
        <v>569871.96866391541</v>
      </c>
      <c r="P6" s="87"/>
      <c r="Q6" s="87"/>
      <c r="R6" s="87"/>
    </row>
    <row r="7" spans="1:18">
      <c r="A7" s="9">
        <v>2008</v>
      </c>
      <c r="B7" s="15">
        <v>19967</v>
      </c>
      <c r="C7" s="15">
        <v>39218.699999999997</v>
      </c>
      <c r="D7" s="9">
        <v>0</v>
      </c>
      <c r="E7" s="10">
        <v>0</v>
      </c>
      <c r="F7" s="9">
        <f t="shared" si="1"/>
        <v>-857.7566355155941</v>
      </c>
      <c r="G7" s="17">
        <f t="shared" si="2"/>
        <v>467130.48528577201</v>
      </c>
      <c r="H7" s="87"/>
      <c r="I7" s="57">
        <v>2009</v>
      </c>
      <c r="J7" s="71">
        <v>6209.8</v>
      </c>
      <c r="K7" s="71">
        <v>-3228.2000000000044</v>
      </c>
      <c r="L7" s="57">
        <v>1</v>
      </c>
      <c r="M7" s="57">
        <v>0</v>
      </c>
      <c r="N7" s="9">
        <f t="shared" si="0"/>
        <v>0</v>
      </c>
      <c r="O7" s="17">
        <f t="shared" si="3"/>
        <v>3662323.9850650574</v>
      </c>
      <c r="P7" s="87"/>
      <c r="Q7" s="87"/>
      <c r="R7" s="87"/>
    </row>
    <row r="8" spans="1:18">
      <c r="A8" s="57">
        <v>2009</v>
      </c>
      <c r="B8" s="57">
        <v>18946.599999999999</v>
      </c>
      <c r="C8" s="57">
        <v>41276.800000000003</v>
      </c>
      <c r="D8" s="57">
        <v>1</v>
      </c>
      <c r="E8" s="89">
        <v>0</v>
      </c>
      <c r="F8" s="57">
        <f t="shared" si="1"/>
        <v>0</v>
      </c>
      <c r="G8" s="94">
        <f t="shared" si="2"/>
        <v>735746.44577103178</v>
      </c>
      <c r="H8" s="87"/>
      <c r="I8" s="57">
        <v>2010</v>
      </c>
      <c r="J8" s="71">
        <v>7982.2</v>
      </c>
      <c r="K8" s="71">
        <v>1713.5999999999985</v>
      </c>
      <c r="L8" s="57">
        <v>0</v>
      </c>
      <c r="M8" s="57">
        <v>0</v>
      </c>
      <c r="N8" s="9">
        <f t="shared" si="0"/>
        <v>-712.34343439981149</v>
      </c>
      <c r="O8" s="17">
        <f t="shared" si="3"/>
        <v>507433.16853251855</v>
      </c>
      <c r="P8" s="87"/>
      <c r="Q8" s="87"/>
      <c r="R8" s="87"/>
    </row>
    <row r="9" spans="1:18">
      <c r="A9" s="57">
        <v>2010</v>
      </c>
      <c r="B9" s="57">
        <v>19993.8</v>
      </c>
      <c r="C9" s="57">
        <v>38048.6</v>
      </c>
      <c r="D9" s="57">
        <v>0</v>
      </c>
      <c r="E9" s="89">
        <v>0</v>
      </c>
      <c r="F9" s="57">
        <f t="shared" si="1"/>
        <v>151.55762154296463</v>
      </c>
      <c r="G9" s="94">
        <f t="shared" si="2"/>
        <v>22969.712647760494</v>
      </c>
      <c r="H9" s="87"/>
      <c r="I9" s="57">
        <v>2011</v>
      </c>
      <c r="J9" s="71">
        <v>9656.2999999999993</v>
      </c>
      <c r="K9" s="71">
        <v>1695.6000000000058</v>
      </c>
      <c r="L9" s="57">
        <v>0</v>
      </c>
      <c r="M9" s="57">
        <v>0</v>
      </c>
      <c r="N9" s="9">
        <f t="shared" si="0"/>
        <v>957.46355942372429</v>
      </c>
      <c r="O9" s="17">
        <f t="shared" si="3"/>
        <v>2788255.3966219937</v>
      </c>
      <c r="P9" s="87"/>
      <c r="Q9" s="87"/>
      <c r="R9" s="87"/>
    </row>
    <row r="10" spans="1:18">
      <c r="A10" s="57">
        <v>2011</v>
      </c>
      <c r="B10" s="57">
        <v>21356.2</v>
      </c>
      <c r="C10" s="57">
        <v>39762.199999999997</v>
      </c>
      <c r="D10" s="57">
        <v>0</v>
      </c>
      <c r="E10" s="89">
        <v>0</v>
      </c>
      <c r="F10" s="57">
        <f t="shared" si="1"/>
        <v>75.075106462591066</v>
      </c>
      <c r="G10" s="94">
        <f t="shared" si="2"/>
        <v>5849.5751130195686</v>
      </c>
      <c r="H10" s="87"/>
      <c r="I10" s="57">
        <v>2012</v>
      </c>
      <c r="J10" s="72">
        <v>10084.8629609</v>
      </c>
      <c r="K10" s="72">
        <v>1515.6999999999971</v>
      </c>
      <c r="L10" s="57">
        <v>0</v>
      </c>
      <c r="M10" s="57">
        <v>0</v>
      </c>
      <c r="N10" s="9">
        <f t="shared" si="0"/>
        <v>1343.1203085933885</v>
      </c>
      <c r="O10" s="17">
        <f t="shared" si="3"/>
        <v>148731.12818011327</v>
      </c>
      <c r="P10" s="87"/>
      <c r="Q10" s="87"/>
      <c r="R10" s="87"/>
    </row>
    <row r="11" spans="1:18">
      <c r="A11" s="57">
        <v>2012</v>
      </c>
      <c r="B11" s="58">
        <v>23053.8</v>
      </c>
      <c r="C11" s="57">
        <v>41457.800000000003</v>
      </c>
      <c r="D11" s="57">
        <v>0</v>
      </c>
      <c r="E11" s="89">
        <v>0</v>
      </c>
      <c r="F11" s="57">
        <f t="shared" si="1"/>
        <v>348.90690351539888</v>
      </c>
      <c r="G11" s="94">
        <f t="shared" si="2"/>
        <v>74983.853077170133</v>
      </c>
      <c r="H11" s="87"/>
      <c r="I11" s="57">
        <v>2013</v>
      </c>
      <c r="J11" s="72">
        <v>9525.0478595999994</v>
      </c>
      <c r="K11" s="72">
        <v>767.20411147509731</v>
      </c>
      <c r="L11" s="57">
        <v>0</v>
      </c>
      <c r="M11" s="57">
        <v>0</v>
      </c>
      <c r="N11" s="9">
        <f t="shared" si="0"/>
        <v>604.78868104361391</v>
      </c>
      <c r="O11" s="17">
        <f t="shared" si="3"/>
        <v>545133.59224029898</v>
      </c>
      <c r="P11" s="87"/>
      <c r="Q11" s="87"/>
      <c r="R11" s="87"/>
    </row>
    <row r="12" spans="1:18">
      <c r="A12" s="57">
        <v>2013</v>
      </c>
      <c r="B12" s="58">
        <v>24263.159764191099</v>
      </c>
      <c r="C12" s="58">
        <v>42973.5</v>
      </c>
      <c r="D12" s="57">
        <v>0</v>
      </c>
      <c r="E12" s="89">
        <v>0</v>
      </c>
      <c r="F12" s="57">
        <f t="shared" si="1"/>
        <v>285.55761769055243</v>
      </c>
      <c r="G12" s="94">
        <f t="shared" si="2"/>
        <v>4013.1320145180912</v>
      </c>
      <c r="H12" s="87"/>
      <c r="I12" s="57">
        <v>2014</v>
      </c>
      <c r="J12" s="72">
        <v>8947.7364885999996</v>
      </c>
      <c r="K12" s="72">
        <v>323.09334284420038</v>
      </c>
      <c r="L12" s="57">
        <v>0</v>
      </c>
      <c r="M12" s="57">
        <v>0</v>
      </c>
      <c r="N12" s="9">
        <f t="shared" si="0"/>
        <v>-78.44326066566282</v>
      </c>
      <c r="O12" s="17">
        <f t="shared" si="3"/>
        <v>466805.88617182849</v>
      </c>
      <c r="P12" s="87"/>
      <c r="Q12" s="87"/>
      <c r="R12" s="87"/>
    </row>
    <row r="13" spans="1:18">
      <c r="A13" s="57">
        <v>2014</v>
      </c>
      <c r="B13" s="58">
        <v>24736.3708425324</v>
      </c>
      <c r="C13" s="58">
        <v>43740.704111475097</v>
      </c>
      <c r="D13" s="57">
        <v>0</v>
      </c>
      <c r="E13" s="89">
        <v>0</v>
      </c>
      <c r="F13" s="57">
        <f t="shared" si="1"/>
        <v>114.55967321480421</v>
      </c>
      <c r="G13" s="94">
        <f t="shared" si="2"/>
        <v>29240.297014931075</v>
      </c>
      <c r="H13" s="87"/>
      <c r="I13" s="57">
        <v>2015</v>
      </c>
      <c r="J13" s="72">
        <v>7848.3547778999991</v>
      </c>
      <c r="K13" s="72">
        <v>-1118.5164172023942</v>
      </c>
      <c r="L13" s="57">
        <v>0</v>
      </c>
      <c r="M13" s="57">
        <v>1</v>
      </c>
      <c r="N13" s="9">
        <f t="shared" si="0"/>
        <v>-315.77792543195937</v>
      </c>
      <c r="O13" s="17">
        <f t="shared" si="3"/>
        <v>56327.743099730367</v>
      </c>
      <c r="P13" s="87"/>
      <c r="Q13" s="87"/>
      <c r="R13" s="87"/>
    </row>
    <row r="14" spans="1:18">
      <c r="A14" s="57">
        <v>2015</v>
      </c>
      <c r="B14" s="58">
        <v>22418.535331585401</v>
      </c>
      <c r="C14" s="58">
        <v>44063.797454319298</v>
      </c>
      <c r="D14" s="57">
        <v>0</v>
      </c>
      <c r="E14" s="89">
        <v>1</v>
      </c>
      <c r="F14" s="57">
        <f t="shared" si="1"/>
        <v>-465.42174335820891</v>
      </c>
      <c r="G14" s="94">
        <f t="shared" si="2"/>
        <v>336378.443570039</v>
      </c>
      <c r="H14" s="87"/>
      <c r="I14" s="57">
        <v>2016</v>
      </c>
      <c r="J14" s="72">
        <v>7700.6521864999995</v>
      </c>
      <c r="K14" s="72">
        <v>-74.136786629605922</v>
      </c>
      <c r="L14" s="57">
        <v>0</v>
      </c>
      <c r="M14" s="57">
        <v>1</v>
      </c>
      <c r="N14" s="9">
        <f t="shared" si="0"/>
        <v>-214.39561657512513</v>
      </c>
      <c r="O14" s="17">
        <f t="shared" si="3"/>
        <v>10278.37254914253</v>
      </c>
      <c r="P14" s="87"/>
      <c r="Q14" s="87"/>
      <c r="R14" s="87"/>
    </row>
    <row r="15" spans="1:18">
      <c r="A15" s="57">
        <v>2016</v>
      </c>
      <c r="B15" s="58">
        <v>21780.763210474499</v>
      </c>
      <c r="C15" s="58">
        <v>42945.281037116903</v>
      </c>
      <c r="D15" s="57">
        <v>0</v>
      </c>
      <c r="E15" s="89">
        <v>1</v>
      </c>
      <c r="F15" s="57">
        <f t="shared" si="1"/>
        <v>-163.99351693008066</v>
      </c>
      <c r="G15" s="94">
        <f t="shared" si="2"/>
        <v>90858.975687606959</v>
      </c>
      <c r="H15" s="87"/>
      <c r="I15" s="57">
        <v>2017</v>
      </c>
      <c r="J15" s="93">
        <v>8269.5079999999998</v>
      </c>
      <c r="K15" s="93">
        <v>662.60573864770413</v>
      </c>
      <c r="L15" s="57">
        <v>0</v>
      </c>
      <c r="M15" s="57">
        <v>1</v>
      </c>
      <c r="N15" s="9">
        <f t="shared" si="0"/>
        <v>530.17354200708633</v>
      </c>
      <c r="O15" s="17">
        <f t="shared" si="3"/>
        <v>554383.23191182234</v>
      </c>
      <c r="P15" s="87"/>
      <c r="Q15" s="87"/>
      <c r="R15" s="87"/>
    </row>
    <row r="16" spans="1:18">
      <c r="A16" s="57">
        <v>2017</v>
      </c>
      <c r="B16" s="90">
        <v>22511.920513599998</v>
      </c>
      <c r="C16" s="58">
        <v>42871.144250487298</v>
      </c>
      <c r="D16" s="57">
        <v>0</v>
      </c>
      <c r="E16" s="89">
        <v>1</v>
      </c>
      <c r="F16" s="57">
        <f t="shared" si="1"/>
        <v>629.41526028831504</v>
      </c>
      <c r="G16" s="94">
        <f t="shared" si="2"/>
        <v>629497.48776718986</v>
      </c>
      <c r="H16" s="87"/>
      <c r="L16" s="82"/>
      <c r="N16" s="60" t="s">
        <v>67</v>
      </c>
      <c r="O16" s="95">
        <f>SUM(O2:O15)</f>
        <v>14690003.136420691</v>
      </c>
      <c r="P16" s="87"/>
      <c r="Q16" s="87"/>
      <c r="R16" s="87"/>
    </row>
    <row r="17" spans="1:18">
      <c r="F17" s="60" t="s">
        <v>67</v>
      </c>
      <c r="G17" s="95">
        <f>SUM(G3:G16)</f>
        <v>2530440.8187009636</v>
      </c>
      <c r="H17" s="87"/>
      <c r="I17" s="46" t="s">
        <v>42</v>
      </c>
      <c r="J17" s="46" t="s">
        <v>43</v>
      </c>
      <c r="K17" s="46" t="s">
        <v>44</v>
      </c>
      <c r="L17" s="46" t="s">
        <v>49</v>
      </c>
      <c r="N17" s="87"/>
      <c r="O17" s="87"/>
      <c r="P17" s="87"/>
      <c r="Q17" s="87"/>
      <c r="R17" s="87"/>
    </row>
    <row r="18" spans="1:18" ht="15" customHeight="1">
      <c r="A18" s="46" t="s">
        <v>45</v>
      </c>
      <c r="B18" s="46" t="s">
        <v>35</v>
      </c>
      <c r="C18" s="46" t="s">
        <v>36</v>
      </c>
      <c r="D18" s="46" t="s">
        <v>37</v>
      </c>
      <c r="E18" s="159" t="s">
        <v>63</v>
      </c>
      <c r="F18" s="160"/>
      <c r="I18" s="17">
        <v>-1205.8714683743701</v>
      </c>
      <c r="J18" s="17">
        <v>-3663.3644301139179</v>
      </c>
      <c r="K18" s="17">
        <v>-0.23850034313693494</v>
      </c>
      <c r="L18" s="17">
        <v>9103.2376223992633</v>
      </c>
      <c r="N18" s="87"/>
      <c r="O18" s="87"/>
      <c r="P18" s="87"/>
      <c r="Q18" s="87"/>
      <c r="R18" s="87"/>
    </row>
    <row r="19" spans="1:18" ht="18" customHeight="1">
      <c r="A19" s="50">
        <f t="array" ref="A19:D23">LINEST(B2:B16,C2:E16,1,1)</f>
        <v>-2009.1504072576204</v>
      </c>
      <c r="B19" s="50">
        <v>-3606.3102911452356</v>
      </c>
      <c r="C19" s="50">
        <v>0.83968400739984861</v>
      </c>
      <c r="D19" s="50">
        <v>-12106.558545496844</v>
      </c>
      <c r="E19" s="159"/>
      <c r="F19" s="160"/>
      <c r="H19" s="162" t="s">
        <v>75</v>
      </c>
      <c r="I19" s="17">
        <v>1370.4059982942374</v>
      </c>
      <c r="J19" s="17">
        <v>2960.5643244718822</v>
      </c>
      <c r="K19" s="17">
        <v>0.51009082361297442</v>
      </c>
      <c r="L19" s="17">
        <v>1020.2448798906851</v>
      </c>
      <c r="N19" s="87"/>
      <c r="O19" s="87"/>
      <c r="P19" s="87"/>
      <c r="Q19" s="87"/>
      <c r="R19" s="87"/>
    </row>
    <row r="20" spans="1:18">
      <c r="A20" s="52">
        <v>306.16646073646712</v>
      </c>
      <c r="B20" s="52">
        <v>437.94240852767524</v>
      </c>
      <c r="C20" s="52">
        <v>2.3018906433872478E-2</v>
      </c>
      <c r="D20" s="52">
        <v>851.71672124659347</v>
      </c>
      <c r="E20" s="159"/>
      <c r="F20" s="160"/>
      <c r="H20" s="162"/>
      <c r="I20" s="97">
        <v>0.24816572011570037</v>
      </c>
      <c r="J20" s="17">
        <v>1410.9697881035831</v>
      </c>
      <c r="K20" s="17" t="e">
        <v>#N/A</v>
      </c>
      <c r="L20" s="17" t="e">
        <v>#N/A</v>
      </c>
      <c r="N20" s="87"/>
      <c r="O20" s="87"/>
      <c r="P20" s="87"/>
      <c r="Q20" s="87"/>
      <c r="R20" s="87"/>
    </row>
    <row r="21" spans="1:18" ht="15" customHeight="1">
      <c r="A21" s="98">
        <v>0.99279877126980542</v>
      </c>
      <c r="B21" s="50">
        <v>406.51906502949629</v>
      </c>
      <c r="C21" s="52" t="e">
        <v>#N/A</v>
      </c>
      <c r="D21" s="52" t="e">
        <v>#N/A</v>
      </c>
      <c r="E21" s="159"/>
      <c r="F21" s="160"/>
      <c r="H21" s="161" t="s">
        <v>74</v>
      </c>
      <c r="I21" s="100">
        <v>1.1002678238875143</v>
      </c>
      <c r="J21" s="102">
        <v>10</v>
      </c>
      <c r="K21" s="17" t="e">
        <v>#N/A</v>
      </c>
      <c r="L21" s="17" t="e">
        <v>#N/A</v>
      </c>
      <c r="N21" s="87"/>
      <c r="O21" s="87"/>
      <c r="P21" s="87"/>
      <c r="Q21" s="87"/>
      <c r="R21" s="87"/>
    </row>
    <row r="22" spans="1:18">
      <c r="A22" s="99">
        <v>505.50569877875176</v>
      </c>
      <c r="B22" s="101">
        <v>11</v>
      </c>
      <c r="C22" s="52" t="e">
        <v>#N/A</v>
      </c>
      <c r="D22" s="52" t="e">
        <v>#N/A</v>
      </c>
      <c r="E22" s="159"/>
      <c r="F22" s="160"/>
      <c r="H22" s="161"/>
      <c r="I22" s="17">
        <v>6571357.5318097621</v>
      </c>
      <c r="J22" s="96">
        <v>19908357.429410703</v>
      </c>
      <c r="K22" s="17" t="e">
        <v>#N/A</v>
      </c>
      <c r="L22" s="17" t="e">
        <v>#N/A</v>
      </c>
      <c r="N22" s="87"/>
      <c r="O22" s="87"/>
      <c r="P22" s="87"/>
      <c r="Q22" s="87"/>
      <c r="R22" s="87"/>
    </row>
    <row r="23" spans="1:18" ht="15.75" thickBot="1">
      <c r="A23" s="52">
        <v>250616203.52958608</v>
      </c>
      <c r="B23" s="88">
        <v>1817835.2525570143</v>
      </c>
      <c r="C23" s="52" t="e">
        <v>#N/A</v>
      </c>
      <c r="D23" s="52" t="e">
        <v>#N/A</v>
      </c>
      <c r="E23" s="159"/>
      <c r="F23" s="160"/>
      <c r="G23" s="87"/>
      <c r="H23" s="103" t="s">
        <v>77</v>
      </c>
      <c r="N23" s="87"/>
      <c r="O23" s="87"/>
      <c r="P23" s="87"/>
      <c r="Q23" s="87"/>
      <c r="R23" s="87"/>
    </row>
    <row r="24" spans="1:18" ht="15.75" thickBot="1">
      <c r="G24" s="87"/>
      <c r="H24" s="87"/>
      <c r="I24" s="91" t="s">
        <v>64</v>
      </c>
      <c r="J24" s="92">
        <f>O16/J22</f>
        <v>0.7378812234262524</v>
      </c>
      <c r="K24" s="87"/>
      <c r="L24" s="87"/>
      <c r="M24" s="87"/>
      <c r="N24" s="87"/>
      <c r="O24" s="87"/>
      <c r="P24" s="87"/>
      <c r="Q24" s="87"/>
      <c r="R24" s="87"/>
    </row>
    <row r="25" spans="1:18" ht="15.75" thickBot="1">
      <c r="A25" s="91" t="s">
        <v>64</v>
      </c>
      <c r="B25" s="92">
        <f>G17/B23</f>
        <v>1.3920077824112937</v>
      </c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</row>
    <row r="26" spans="1:18" ht="30">
      <c r="I26" s="82" t="s">
        <v>71</v>
      </c>
      <c r="J26" s="158" t="s">
        <v>73</v>
      </c>
      <c r="K26" s="158"/>
      <c r="L26" s="158"/>
      <c r="M26" s="158"/>
    </row>
    <row r="27" spans="1:18" ht="30">
      <c r="A27" s="82" t="s">
        <v>68</v>
      </c>
      <c r="B27" s="158" t="s">
        <v>70</v>
      </c>
      <c r="C27" s="158"/>
      <c r="D27" s="158"/>
      <c r="E27" s="158"/>
      <c r="I27" s="82" t="s">
        <v>72</v>
      </c>
      <c r="J27" s="158"/>
      <c r="K27" s="158"/>
      <c r="L27" s="158"/>
      <c r="M27" s="158"/>
    </row>
    <row r="28" spans="1:18" ht="30.75" thickBot="1">
      <c r="A28" s="82" t="s">
        <v>69</v>
      </c>
      <c r="B28" s="158"/>
      <c r="C28" s="158"/>
      <c r="D28" s="158"/>
      <c r="E28" s="158"/>
    </row>
    <row r="29" spans="1:18" ht="17.25" customHeight="1" thickBot="1">
      <c r="I29" s="91" t="s">
        <v>76</v>
      </c>
      <c r="J29" s="92">
        <f>_xlfn.F.INV(0.95,3,J21)</f>
        <v>3.7082648190468426</v>
      </c>
      <c r="K29" s="157" t="s">
        <v>79</v>
      </c>
      <c r="L29" s="158"/>
      <c r="M29" s="158"/>
    </row>
    <row r="30" spans="1:18" ht="17.25" customHeight="1" thickBot="1">
      <c r="A30" s="91" t="s">
        <v>76</v>
      </c>
      <c r="B30" s="92">
        <f>_xlfn.F.INV(0.95,3,B22)</f>
        <v>3.5874337024204941</v>
      </c>
      <c r="C30" s="157" t="s">
        <v>78</v>
      </c>
      <c r="D30" s="158"/>
      <c r="E30" s="158"/>
      <c r="K30" s="104"/>
      <c r="L30" s="104"/>
      <c r="M30" s="104"/>
    </row>
    <row r="31" spans="1:18">
      <c r="C31" s="104"/>
      <c r="D31" s="104"/>
      <c r="E31" s="104"/>
      <c r="K31" s="104"/>
      <c r="L31" s="104"/>
      <c r="M31" s="104"/>
    </row>
    <row r="32" spans="1:18">
      <c r="C32" s="104"/>
      <c r="D32" s="104"/>
      <c r="E32" s="104"/>
    </row>
  </sheetData>
  <mergeCells count="7">
    <mergeCell ref="C30:E30"/>
    <mergeCell ref="K29:M29"/>
    <mergeCell ref="E18:F23"/>
    <mergeCell ref="B27:E28"/>
    <mergeCell ref="J26:M27"/>
    <mergeCell ref="H21:H22"/>
    <mergeCell ref="H19:H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activeCell="G1" sqref="G1:G7"/>
    </sheetView>
  </sheetViews>
  <sheetFormatPr defaultColWidth="9.140625" defaultRowHeight="15"/>
  <cols>
    <col min="1" max="1" width="12.42578125" style="87" customWidth="1"/>
    <col min="2" max="2" width="11.7109375" style="87" customWidth="1"/>
    <col min="3" max="3" width="11.42578125" style="87" bestFit="1" customWidth="1"/>
    <col min="4" max="4" width="12.28515625" style="87" customWidth="1"/>
    <col min="5" max="5" width="9.28515625" style="87" bestFit="1" customWidth="1"/>
    <col min="6" max="7" width="9.140625" style="87"/>
    <col min="8" max="8" width="13.140625" style="87" bestFit="1" customWidth="1"/>
    <col min="9" max="11" width="9.28515625" style="87" bestFit="1" customWidth="1"/>
    <col min="12" max="13" width="9.140625" style="87"/>
    <col min="14" max="14" width="9.42578125" style="87" bestFit="1" customWidth="1"/>
    <col min="15" max="15" width="12.42578125" style="87" bestFit="1" customWidth="1"/>
    <col min="16" max="16" width="13.28515625" style="87" bestFit="1" customWidth="1"/>
    <col min="17" max="17" width="13.42578125" style="87" bestFit="1" customWidth="1"/>
    <col min="18" max="18" width="12.42578125" style="87" bestFit="1" customWidth="1"/>
    <col min="19" max="20" width="9.28515625" style="87" bestFit="1" customWidth="1"/>
    <col min="21" max="16384" width="9.140625" style="87"/>
  </cols>
  <sheetData>
    <row r="1" spans="1:17" ht="16.5">
      <c r="A1" s="46" t="s">
        <v>15</v>
      </c>
      <c r="B1" s="46" t="s">
        <v>32</v>
      </c>
      <c r="C1" s="46" t="s">
        <v>33</v>
      </c>
      <c r="D1" s="46" t="s">
        <v>31</v>
      </c>
      <c r="E1" s="46" t="s">
        <v>34</v>
      </c>
      <c r="G1" s="106" t="s">
        <v>80</v>
      </c>
      <c r="H1" s="58">
        <v>43533.749989135002</v>
      </c>
      <c r="M1" s="87" t="s">
        <v>87</v>
      </c>
      <c r="N1" s="17">
        <v>1</v>
      </c>
      <c r="O1" s="57">
        <v>27312.3</v>
      </c>
      <c r="P1" s="57">
        <v>0</v>
      </c>
      <c r="Q1" s="57">
        <v>0</v>
      </c>
    </row>
    <row r="2" spans="1:17" ht="16.5">
      <c r="A2" s="9">
        <v>2003</v>
      </c>
      <c r="B2" s="15">
        <v>11159.8</v>
      </c>
      <c r="C2" s="15">
        <v>27312.3</v>
      </c>
      <c r="D2" s="9">
        <v>0</v>
      </c>
      <c r="E2" s="9">
        <v>0</v>
      </c>
      <c r="G2" s="106" t="s">
        <v>81</v>
      </c>
      <c r="H2" s="17">
        <v>0</v>
      </c>
      <c r="M2" s="113" t="s">
        <v>89</v>
      </c>
      <c r="N2" s="17">
        <v>1</v>
      </c>
      <c r="O2" s="57">
        <v>29304.9</v>
      </c>
      <c r="P2" s="57">
        <v>0</v>
      </c>
      <c r="Q2" s="57">
        <v>0</v>
      </c>
    </row>
    <row r="3" spans="1:17" ht="16.5">
      <c r="A3" s="9">
        <v>2004</v>
      </c>
      <c r="B3" s="15">
        <v>12550.7</v>
      </c>
      <c r="C3" s="15">
        <v>29304.9</v>
      </c>
      <c r="D3" s="9">
        <v>0</v>
      </c>
      <c r="E3" s="9">
        <v>0</v>
      </c>
      <c r="G3" s="106" t="s">
        <v>82</v>
      </c>
      <c r="H3" s="109">
        <v>1</v>
      </c>
      <c r="N3" s="17">
        <v>1</v>
      </c>
      <c r="O3" s="57">
        <v>31407.8</v>
      </c>
      <c r="P3" s="57">
        <v>0</v>
      </c>
      <c r="Q3" s="57">
        <v>0</v>
      </c>
    </row>
    <row r="4" spans="1:17" ht="18">
      <c r="A4" s="9">
        <v>2005</v>
      </c>
      <c r="B4" s="15">
        <v>14087.4</v>
      </c>
      <c r="C4" s="15">
        <v>31407.8</v>
      </c>
      <c r="D4" s="9">
        <v>0</v>
      </c>
      <c r="E4" s="9">
        <v>0</v>
      </c>
      <c r="G4" s="110" t="s">
        <v>86</v>
      </c>
      <c r="H4" s="17">
        <v>1</v>
      </c>
      <c r="I4" s="17">
        <f>H1</f>
        <v>43533.749989135002</v>
      </c>
      <c r="J4" s="17">
        <f>H2</f>
        <v>0</v>
      </c>
      <c r="K4" s="17">
        <f>H3</f>
        <v>1</v>
      </c>
      <c r="N4" s="17">
        <v>1</v>
      </c>
      <c r="O4" s="57">
        <v>33410.5</v>
      </c>
      <c r="P4" s="57">
        <v>0</v>
      </c>
      <c r="Q4" s="57">
        <v>0</v>
      </c>
    </row>
    <row r="5" spans="1:17" ht="18">
      <c r="A5" s="9">
        <v>2006</v>
      </c>
      <c r="B5" s="15">
        <v>15799.7</v>
      </c>
      <c r="C5" s="15">
        <v>33410.5</v>
      </c>
      <c r="D5" s="9">
        <v>0</v>
      </c>
      <c r="E5" s="9">
        <v>0</v>
      </c>
      <c r="G5" s="108" t="s">
        <v>84</v>
      </c>
      <c r="H5" s="111">
        <f>D19*H4+C19*I4+B19*J4+A19*K4</f>
        <v>22438.884695265529</v>
      </c>
      <c r="I5" s="87" t="s">
        <v>29</v>
      </c>
      <c r="N5" s="17">
        <v>1</v>
      </c>
      <c r="O5" s="57">
        <v>36134.6</v>
      </c>
      <c r="P5" s="57">
        <v>0</v>
      </c>
      <c r="Q5" s="57">
        <v>0</v>
      </c>
    </row>
    <row r="6" spans="1:17" ht="17.25">
      <c r="A6" s="9">
        <v>2007</v>
      </c>
      <c r="B6" s="15">
        <v>18060.8</v>
      </c>
      <c r="C6" s="15">
        <v>36134.6</v>
      </c>
      <c r="D6" s="9">
        <v>0</v>
      </c>
      <c r="E6" s="9">
        <v>0</v>
      </c>
      <c r="G6" s="108" t="s">
        <v>85</v>
      </c>
      <c r="H6" s="107">
        <v>23010.044974890901</v>
      </c>
      <c r="I6" s="163" t="s">
        <v>83</v>
      </c>
      <c r="J6" s="164"/>
      <c r="N6" s="17">
        <v>1</v>
      </c>
      <c r="O6" s="57">
        <v>39218.699999999997</v>
      </c>
      <c r="P6" s="57">
        <v>0</v>
      </c>
      <c r="Q6" s="57">
        <v>0</v>
      </c>
    </row>
    <row r="7" spans="1:17" ht="17.25">
      <c r="A7" s="9">
        <v>2008</v>
      </c>
      <c r="B7" s="15">
        <v>19967</v>
      </c>
      <c r="C7" s="15">
        <v>39218.699999999997</v>
      </c>
      <c r="D7" s="9">
        <v>0</v>
      </c>
      <c r="E7" s="9">
        <v>0</v>
      </c>
      <c r="G7" s="116" t="s">
        <v>98</v>
      </c>
      <c r="H7" s="117">
        <f>B21*SQRT(1+Q33)</f>
        <v>469.44038454437577</v>
      </c>
      <c r="I7" s="164" t="s">
        <v>97</v>
      </c>
      <c r="J7" s="164"/>
      <c r="N7" s="17">
        <v>1</v>
      </c>
      <c r="O7" s="57">
        <v>41276.800000000003</v>
      </c>
      <c r="P7" s="57">
        <v>1</v>
      </c>
      <c r="Q7" s="57">
        <v>0</v>
      </c>
    </row>
    <row r="8" spans="1:17">
      <c r="A8" s="57">
        <v>2009</v>
      </c>
      <c r="B8" s="57">
        <v>18946.599999999999</v>
      </c>
      <c r="C8" s="57">
        <v>41276.800000000003</v>
      </c>
      <c r="D8" s="57">
        <v>1</v>
      </c>
      <c r="E8" s="57">
        <v>0</v>
      </c>
      <c r="N8" s="17">
        <v>1</v>
      </c>
      <c r="O8" s="57">
        <v>38048.6</v>
      </c>
      <c r="P8" s="57">
        <v>0</v>
      </c>
      <c r="Q8" s="57">
        <v>0</v>
      </c>
    </row>
    <row r="9" spans="1:17">
      <c r="A9" s="57">
        <v>2010</v>
      </c>
      <c r="B9" s="57">
        <v>19993.8</v>
      </c>
      <c r="C9" s="57">
        <v>38048.6</v>
      </c>
      <c r="D9" s="57">
        <v>0</v>
      </c>
      <c r="E9" s="57">
        <v>0</v>
      </c>
      <c r="N9" s="17">
        <v>1</v>
      </c>
      <c r="O9" s="57">
        <v>39762.199999999997</v>
      </c>
      <c r="P9" s="57">
        <v>0</v>
      </c>
      <c r="Q9" s="57">
        <v>0</v>
      </c>
    </row>
    <row r="10" spans="1:17">
      <c r="A10" s="57">
        <v>2011</v>
      </c>
      <c r="B10" s="57">
        <v>21356.2</v>
      </c>
      <c r="C10" s="57">
        <v>39762.199999999997</v>
      </c>
      <c r="D10" s="57">
        <v>0</v>
      </c>
      <c r="E10" s="57">
        <v>0</v>
      </c>
      <c r="N10" s="17">
        <v>1</v>
      </c>
      <c r="O10" s="57">
        <v>41457.800000000003</v>
      </c>
      <c r="P10" s="57">
        <v>0</v>
      </c>
      <c r="Q10" s="57">
        <v>0</v>
      </c>
    </row>
    <row r="11" spans="1:17">
      <c r="A11" s="57">
        <v>2012</v>
      </c>
      <c r="B11" s="58">
        <v>23053.8</v>
      </c>
      <c r="C11" s="57">
        <v>41457.800000000003</v>
      </c>
      <c r="D11" s="57">
        <v>0</v>
      </c>
      <c r="E11" s="57">
        <v>0</v>
      </c>
      <c r="N11" s="17">
        <v>1</v>
      </c>
      <c r="O11" s="58">
        <v>42973.5</v>
      </c>
      <c r="P11" s="57">
        <v>0</v>
      </c>
      <c r="Q11" s="57">
        <v>0</v>
      </c>
    </row>
    <row r="12" spans="1:17">
      <c r="A12" s="57">
        <v>2013</v>
      </c>
      <c r="B12" s="58">
        <v>24263.159764191099</v>
      </c>
      <c r="C12" s="58">
        <v>42973.5</v>
      </c>
      <c r="D12" s="57">
        <v>0</v>
      </c>
      <c r="E12" s="57">
        <v>0</v>
      </c>
      <c r="N12" s="17">
        <v>1</v>
      </c>
      <c r="O12" s="58">
        <v>43740.704111475097</v>
      </c>
      <c r="P12" s="57">
        <v>0</v>
      </c>
      <c r="Q12" s="57">
        <v>0</v>
      </c>
    </row>
    <row r="13" spans="1:17">
      <c r="A13" s="57">
        <v>2014</v>
      </c>
      <c r="B13" s="58">
        <v>24736.3708425324</v>
      </c>
      <c r="C13" s="58">
        <v>43740.704111475097</v>
      </c>
      <c r="D13" s="57">
        <v>0</v>
      </c>
      <c r="E13" s="57">
        <v>0</v>
      </c>
      <c r="N13" s="17">
        <v>1</v>
      </c>
      <c r="O13" s="58">
        <v>44063.797454319298</v>
      </c>
      <c r="P13" s="57">
        <v>0</v>
      </c>
      <c r="Q13" s="57">
        <v>1</v>
      </c>
    </row>
    <row r="14" spans="1:17">
      <c r="A14" s="57">
        <v>2015</v>
      </c>
      <c r="B14" s="58">
        <v>22418.535331585401</v>
      </c>
      <c r="C14" s="58">
        <v>44063.797454319298</v>
      </c>
      <c r="D14" s="57">
        <v>0</v>
      </c>
      <c r="E14" s="57">
        <v>1</v>
      </c>
      <c r="N14" s="17">
        <v>1</v>
      </c>
      <c r="O14" s="58">
        <v>42945.281037116903</v>
      </c>
      <c r="P14" s="57">
        <v>0</v>
      </c>
      <c r="Q14" s="57">
        <v>1</v>
      </c>
    </row>
    <row r="15" spans="1:17">
      <c r="A15" s="57">
        <v>2016</v>
      </c>
      <c r="B15" s="58">
        <v>21780.763210474499</v>
      </c>
      <c r="C15" s="58">
        <v>42945.281037116903</v>
      </c>
      <c r="D15" s="57">
        <v>0</v>
      </c>
      <c r="E15" s="57">
        <v>1</v>
      </c>
      <c r="N15" s="17">
        <v>1</v>
      </c>
      <c r="O15" s="58">
        <v>42871.144250487298</v>
      </c>
      <c r="P15" s="57">
        <v>0</v>
      </c>
      <c r="Q15" s="57">
        <v>1</v>
      </c>
    </row>
    <row r="16" spans="1:17">
      <c r="A16" s="47">
        <v>2017</v>
      </c>
      <c r="B16" s="49">
        <v>22511.920513599998</v>
      </c>
      <c r="C16" s="48">
        <v>42871.144250487298</v>
      </c>
      <c r="D16" s="47">
        <v>0</v>
      </c>
      <c r="E16" s="47">
        <v>1</v>
      </c>
    </row>
    <row r="17" spans="1:28" ht="18">
      <c r="A17" s="105"/>
      <c r="B17" s="105"/>
      <c r="C17" s="105"/>
      <c r="D17" s="105"/>
      <c r="E17" s="105"/>
      <c r="M17" s="87" t="s">
        <v>88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  <c r="W17" s="17">
        <v>1</v>
      </c>
      <c r="X17" s="17">
        <v>1</v>
      </c>
      <c r="Y17" s="17">
        <v>1</v>
      </c>
      <c r="Z17" s="17">
        <v>1</v>
      </c>
      <c r="AA17" s="17">
        <v>1</v>
      </c>
      <c r="AB17" s="17">
        <v>1</v>
      </c>
    </row>
    <row r="18" spans="1:28">
      <c r="A18" s="46" t="s">
        <v>45</v>
      </c>
      <c r="B18" s="46" t="s">
        <v>35</v>
      </c>
      <c r="C18" s="46" t="s">
        <v>36</v>
      </c>
      <c r="D18" s="46" t="s">
        <v>37</v>
      </c>
      <c r="E18" s="105"/>
      <c r="N18" s="57">
        <v>27312.3</v>
      </c>
      <c r="O18" s="57">
        <v>29304.9</v>
      </c>
      <c r="P18" s="57">
        <v>31407.8</v>
      </c>
      <c r="Q18" s="57">
        <v>33410.5</v>
      </c>
      <c r="R18" s="57">
        <v>36134.6</v>
      </c>
      <c r="S18" s="57">
        <v>39218.699999999997</v>
      </c>
      <c r="T18" s="57">
        <v>41276.800000000003</v>
      </c>
      <c r="U18" s="57">
        <v>38048.6</v>
      </c>
      <c r="V18" s="57">
        <v>39762.199999999997</v>
      </c>
      <c r="W18" s="57">
        <v>41457.800000000003</v>
      </c>
      <c r="X18" s="58">
        <v>42973.5</v>
      </c>
      <c r="Y18" s="58">
        <v>43740.704111475097</v>
      </c>
      <c r="Z18" s="58">
        <v>44063.797454319298</v>
      </c>
      <c r="AA18" s="58">
        <v>42945.281037116903</v>
      </c>
      <c r="AB18" s="58">
        <v>42871.144250487298</v>
      </c>
    </row>
    <row r="19" spans="1:28">
      <c r="A19" s="50">
        <f t="array" ref="A19:D23">LINEST(B2:B16,C2:E16,1,1)</f>
        <v>-2009.1504072576204</v>
      </c>
      <c r="B19" s="50">
        <v>-3606.3102911452356</v>
      </c>
      <c r="C19" s="50">
        <v>0.83968400739984861</v>
      </c>
      <c r="D19" s="50">
        <v>-12106.558545496844</v>
      </c>
      <c r="E19" s="105"/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1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7">
        <v>0</v>
      </c>
      <c r="AA19" s="57">
        <v>0</v>
      </c>
      <c r="AB19" s="57">
        <v>0</v>
      </c>
    </row>
    <row r="20" spans="1:28">
      <c r="A20" s="52">
        <v>306.16646073646712</v>
      </c>
      <c r="B20" s="52">
        <v>437.94240852767524</v>
      </c>
      <c r="C20" s="52">
        <v>2.3018906433872478E-2</v>
      </c>
      <c r="D20" s="52">
        <v>851.71672124659347</v>
      </c>
      <c r="E20" s="105"/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1</v>
      </c>
      <c r="AA20" s="57">
        <v>1</v>
      </c>
      <c r="AB20" s="57">
        <v>1</v>
      </c>
    </row>
    <row r="21" spans="1:28">
      <c r="A21" s="52">
        <v>0.99279877126980542</v>
      </c>
      <c r="B21" s="50">
        <v>406.51906502949629</v>
      </c>
      <c r="C21" s="52" t="e">
        <v>#N/A</v>
      </c>
      <c r="D21" s="52" t="e">
        <v>#N/A</v>
      </c>
      <c r="E21" s="105"/>
    </row>
    <row r="22" spans="1:28" ht="18">
      <c r="A22" s="52">
        <v>505.50569877875176</v>
      </c>
      <c r="B22" s="52">
        <v>11</v>
      </c>
      <c r="C22" s="52" t="e">
        <v>#N/A</v>
      </c>
      <c r="D22" s="52" t="e">
        <v>#N/A</v>
      </c>
      <c r="E22" s="105"/>
      <c r="M22" s="87" t="s">
        <v>92</v>
      </c>
      <c r="N22" s="17">
        <f t="array" ref="N22:Q25" xml:space="preserve"> MMULT(N17:AB20,N1:Q15)</f>
        <v>15</v>
      </c>
      <c r="O22" s="17">
        <v>573928.62685339863</v>
      </c>
      <c r="P22" s="17">
        <v>1</v>
      </c>
      <c r="Q22" s="17">
        <v>3</v>
      </c>
    </row>
    <row r="23" spans="1:28">
      <c r="A23" s="52">
        <v>250616203.52958608</v>
      </c>
      <c r="B23" s="52">
        <v>1817835.2525570143</v>
      </c>
      <c r="C23" s="52" t="e">
        <v>#N/A</v>
      </c>
      <c r="D23" s="52" t="e">
        <v>#N/A</v>
      </c>
      <c r="E23" s="105"/>
      <c r="M23" s="113" t="s">
        <v>90</v>
      </c>
      <c r="N23" s="17">
        <v>573928.62685339863</v>
      </c>
      <c r="O23" s="17">
        <v>22386339280.33593</v>
      </c>
      <c r="P23" s="17">
        <v>41276.800000000003</v>
      </c>
      <c r="Q23" s="17">
        <v>129880.2227419235</v>
      </c>
    </row>
    <row r="24" spans="1:28">
      <c r="N24" s="17">
        <v>1</v>
      </c>
      <c r="O24" s="17">
        <v>41276.800000000003</v>
      </c>
      <c r="P24" s="17">
        <v>1</v>
      </c>
      <c r="Q24" s="17">
        <v>0</v>
      </c>
    </row>
    <row r="25" spans="1:28">
      <c r="N25" s="17">
        <v>3</v>
      </c>
      <c r="O25" s="17">
        <v>129880.2227419235</v>
      </c>
      <c r="P25" s="17">
        <v>0</v>
      </c>
      <c r="Q25" s="17">
        <v>3</v>
      </c>
    </row>
    <row r="27" spans="1:28">
      <c r="M27" s="87" t="s">
        <v>91</v>
      </c>
      <c r="N27" s="17">
        <f t="array" ref="N27:Q30">MINVERSE(N22:Q25)</f>
        <v>4.3896360214916834</v>
      </c>
      <c r="O27" s="17">
        <v>-1.1740151429176014E-4</v>
      </c>
      <c r="P27" s="17">
        <v>0.45632280362644329</v>
      </c>
      <c r="Q27" s="17">
        <v>0.6930755873259582</v>
      </c>
    </row>
    <row r="28" spans="1:28">
      <c r="N28" s="17">
        <v>-1.1740151429176016E-4</v>
      </c>
      <c r="O28" s="17">
        <v>3.206324984250717E-9</v>
      </c>
      <c r="P28" s="17">
        <v>-1.4945320818159871E-5</v>
      </c>
      <c r="Q28" s="17">
        <v>-2.1411220087399012E-5</v>
      </c>
    </row>
    <row r="29" spans="1:28">
      <c r="N29" s="17">
        <v>0.45632280362644279</v>
      </c>
      <c r="O29" s="17">
        <v>-1.4945320818159861E-5</v>
      </c>
      <c r="P29" s="17">
        <v>1.1605722147205781</v>
      </c>
      <c r="Q29" s="17">
        <v>0.19071106197759349</v>
      </c>
    </row>
    <row r="30" spans="1:28">
      <c r="N30" s="17">
        <v>0.69307558732595831</v>
      </c>
      <c r="O30" s="17">
        <v>-2.1411220087399018E-5</v>
      </c>
      <c r="P30" s="17">
        <v>0.19071106197759358</v>
      </c>
      <c r="Q30" s="17">
        <v>0.56722242404995205</v>
      </c>
    </row>
    <row r="32" spans="1:28" ht="18">
      <c r="M32" s="87" t="s">
        <v>93</v>
      </c>
      <c r="N32" s="17">
        <v>1</v>
      </c>
      <c r="P32" s="114" t="s">
        <v>95</v>
      </c>
      <c r="Q32" s="17">
        <f t="array" ref="Q32:T32">MMULT(H4:K4,N27:Q30)</f>
        <v>-2.8216562705705273E-2</v>
      </c>
      <c r="R32" s="17">
        <v>7.7061586912877415E-7</v>
      </c>
      <c r="S32" s="17">
        <v>-3.5919944011495453E-3</v>
      </c>
      <c r="T32" s="17">
        <v>0.32818730912873639</v>
      </c>
    </row>
    <row r="33" spans="13:17" ht="17.25">
      <c r="M33" s="113" t="s">
        <v>94</v>
      </c>
      <c r="N33" s="17">
        <v>43533.749989135002</v>
      </c>
      <c r="P33" s="115" t="s">
        <v>96</v>
      </c>
      <c r="Q33" s="51">
        <f>MMULT(Q32:T32,N32:N35)</f>
        <v>0.33351854500734313</v>
      </c>
    </row>
    <row r="34" spans="13:17">
      <c r="N34" s="17">
        <f>L32</f>
        <v>0</v>
      </c>
    </row>
    <row r="35" spans="13:17">
      <c r="N35" s="17">
        <v>1</v>
      </c>
    </row>
  </sheetData>
  <mergeCells count="2">
    <mergeCell ref="I6:J6"/>
    <mergeCell ref="I7:J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0"/>
  <sheetViews>
    <sheetView topLeftCell="A25" workbookViewId="0">
      <selection activeCell="G37" sqref="G37:G43"/>
    </sheetView>
  </sheetViews>
  <sheetFormatPr defaultColWidth="9.140625" defaultRowHeight="15"/>
  <cols>
    <col min="1" max="1" width="12.42578125" style="112" customWidth="1"/>
    <col min="2" max="2" width="11.7109375" style="112" customWidth="1"/>
    <col min="3" max="3" width="11.42578125" style="112" bestFit="1" customWidth="1"/>
    <col min="4" max="4" width="12.28515625" style="112" customWidth="1"/>
    <col min="5" max="5" width="9.28515625" style="112" bestFit="1" customWidth="1"/>
    <col min="6" max="6" width="9.140625" style="112"/>
    <col min="7" max="7" width="13.42578125" style="112" customWidth="1"/>
    <col min="8" max="8" width="13.140625" style="112" bestFit="1" customWidth="1"/>
    <col min="9" max="11" width="9.28515625" style="112" bestFit="1" customWidth="1"/>
    <col min="12" max="13" width="9.140625" style="112"/>
    <col min="14" max="15" width="13" style="112" bestFit="1" customWidth="1"/>
    <col min="16" max="16" width="13.42578125" style="112" bestFit="1" customWidth="1"/>
    <col min="17" max="17" width="20.42578125" style="112" bestFit="1" customWidth="1"/>
    <col min="18" max="18" width="12.42578125" style="112" bestFit="1" customWidth="1"/>
    <col min="19" max="20" width="9.28515625" style="112" bestFit="1" customWidth="1"/>
    <col min="21" max="16384" width="9.140625" style="112"/>
  </cols>
  <sheetData>
    <row r="1" spans="1:17" ht="16.5">
      <c r="A1" s="118" t="s">
        <v>15</v>
      </c>
      <c r="B1" s="118" t="s">
        <v>38</v>
      </c>
      <c r="C1" s="118" t="s">
        <v>41</v>
      </c>
      <c r="D1" s="118" t="s">
        <v>31</v>
      </c>
      <c r="E1" s="118" t="s">
        <v>34</v>
      </c>
      <c r="G1" s="106" t="s">
        <v>99</v>
      </c>
      <c r="H1" s="58">
        <v>662.60573864770413</v>
      </c>
      <c r="M1" s="112" t="s">
        <v>87</v>
      </c>
      <c r="N1" s="17">
        <v>1</v>
      </c>
      <c r="O1" s="139">
        <v>1992.6000000000022</v>
      </c>
      <c r="P1" s="138">
        <v>0</v>
      </c>
      <c r="Q1" s="138">
        <v>0</v>
      </c>
    </row>
    <row r="2" spans="1:17" ht="16.5">
      <c r="A2" s="138">
        <v>2004</v>
      </c>
      <c r="B2" s="139">
        <v>6056.2</v>
      </c>
      <c r="C2" s="139">
        <v>1992.6000000000022</v>
      </c>
      <c r="D2" s="138">
        <v>0</v>
      </c>
      <c r="E2" s="138">
        <v>0</v>
      </c>
      <c r="G2" s="106" t="s">
        <v>81</v>
      </c>
      <c r="H2" s="17">
        <v>0</v>
      </c>
      <c r="M2" s="113" t="s">
        <v>89</v>
      </c>
      <c r="N2" s="17">
        <v>1</v>
      </c>
      <c r="O2" s="139">
        <v>2102.8999999999978</v>
      </c>
      <c r="P2" s="138">
        <v>0</v>
      </c>
      <c r="Q2" s="138">
        <v>0</v>
      </c>
    </row>
    <row r="3" spans="1:17" ht="16.5">
      <c r="A3" s="138">
        <v>2005</v>
      </c>
      <c r="B3" s="139">
        <v>6631.1</v>
      </c>
      <c r="C3" s="139">
        <v>2102.8999999999978</v>
      </c>
      <c r="D3" s="138">
        <v>0</v>
      </c>
      <c r="E3" s="138">
        <v>0</v>
      </c>
      <c r="G3" s="106" t="s">
        <v>82</v>
      </c>
      <c r="H3" s="109">
        <v>1</v>
      </c>
      <c r="N3" s="17">
        <v>1</v>
      </c>
      <c r="O3" s="139">
        <v>2002.7000000000007</v>
      </c>
      <c r="P3" s="138">
        <v>0</v>
      </c>
      <c r="Q3" s="138">
        <v>0</v>
      </c>
    </row>
    <row r="4" spans="1:17" ht="18">
      <c r="A4" s="138">
        <v>2006</v>
      </c>
      <c r="B4" s="139">
        <v>7806.4</v>
      </c>
      <c r="C4" s="139">
        <v>2002.7000000000007</v>
      </c>
      <c r="D4" s="138">
        <v>0</v>
      </c>
      <c r="E4" s="138">
        <v>0</v>
      </c>
      <c r="G4" s="110" t="s">
        <v>86</v>
      </c>
      <c r="H4" s="17">
        <v>1</v>
      </c>
      <c r="I4" s="58">
        <v>662.60573864770413</v>
      </c>
      <c r="J4" s="17">
        <f>H2</f>
        <v>0</v>
      </c>
      <c r="K4" s="17">
        <f>H3</f>
        <v>1</v>
      </c>
      <c r="N4" s="17">
        <v>1</v>
      </c>
      <c r="O4" s="139">
        <v>2724.0999999999985</v>
      </c>
      <c r="P4" s="138">
        <v>0</v>
      </c>
      <c r="Q4" s="138">
        <v>0</v>
      </c>
    </row>
    <row r="5" spans="1:17" ht="18">
      <c r="A5" s="138">
        <v>2007</v>
      </c>
      <c r="B5" s="139">
        <v>9526.5</v>
      </c>
      <c r="C5" s="139">
        <v>2724.0999999999985</v>
      </c>
      <c r="D5" s="138">
        <v>0</v>
      </c>
      <c r="E5" s="138">
        <v>0</v>
      </c>
      <c r="G5" s="108" t="s">
        <v>100</v>
      </c>
      <c r="H5" s="111">
        <f>D19*H4+C19*I4+B19*J4+A19*K4</f>
        <v>8097.7284756902945</v>
      </c>
      <c r="I5" s="112" t="s">
        <v>29</v>
      </c>
      <c r="N5" s="17">
        <v>1</v>
      </c>
      <c r="O5" s="139">
        <v>3084.0999999999985</v>
      </c>
      <c r="P5" s="138">
        <v>0</v>
      </c>
      <c r="Q5" s="138">
        <v>0</v>
      </c>
    </row>
    <row r="6" spans="1:17" ht="17.25">
      <c r="A6" s="138">
        <v>2008</v>
      </c>
      <c r="B6" s="139">
        <v>10526.1</v>
      </c>
      <c r="C6" s="139">
        <v>3084.0999999999985</v>
      </c>
      <c r="D6" s="138">
        <v>0</v>
      </c>
      <c r="E6" s="138">
        <v>0</v>
      </c>
      <c r="G6" s="108" t="s">
        <v>101</v>
      </c>
      <c r="H6" s="107">
        <v>8393.4108784662603</v>
      </c>
      <c r="I6" s="163" t="s">
        <v>83</v>
      </c>
      <c r="J6" s="164"/>
      <c r="N6" s="17">
        <v>1</v>
      </c>
      <c r="O6" s="139">
        <v>2058.1000000000058</v>
      </c>
      <c r="P6" s="138">
        <v>1</v>
      </c>
      <c r="Q6" s="138">
        <v>0</v>
      </c>
    </row>
    <row r="7" spans="1:17" ht="17.25">
      <c r="A7" s="138">
        <v>2009</v>
      </c>
      <c r="B7" s="139">
        <v>6209.8</v>
      </c>
      <c r="C7" s="139">
        <v>2058.1000000000058</v>
      </c>
      <c r="D7" s="138">
        <v>1</v>
      </c>
      <c r="E7" s="138">
        <v>0</v>
      </c>
      <c r="G7" s="116" t="s">
        <v>102</v>
      </c>
      <c r="H7" s="117">
        <f>B21*SQRT(1+Q33)</f>
        <v>1633.223947636139</v>
      </c>
      <c r="I7" s="164" t="s">
        <v>97</v>
      </c>
      <c r="J7" s="164"/>
      <c r="N7" s="17">
        <v>1</v>
      </c>
      <c r="O7" s="139">
        <v>-3228.2000000000044</v>
      </c>
      <c r="P7" s="138">
        <v>0</v>
      </c>
      <c r="Q7" s="138">
        <v>0</v>
      </c>
    </row>
    <row r="8" spans="1:17">
      <c r="A8" s="138">
        <v>2010</v>
      </c>
      <c r="B8" s="139">
        <v>7982.2</v>
      </c>
      <c r="C8" s="139">
        <v>-3228.2000000000044</v>
      </c>
      <c r="D8" s="138">
        <v>0</v>
      </c>
      <c r="E8" s="138">
        <v>0</v>
      </c>
      <c r="N8" s="17">
        <v>1</v>
      </c>
      <c r="O8" s="139">
        <v>1713.5999999999985</v>
      </c>
      <c r="P8" s="138">
        <v>0</v>
      </c>
      <c r="Q8" s="138">
        <v>0</v>
      </c>
    </row>
    <row r="9" spans="1:17">
      <c r="A9" s="138">
        <v>2011</v>
      </c>
      <c r="B9" s="139">
        <v>9656.2999999999993</v>
      </c>
      <c r="C9" s="139">
        <v>1713.5999999999985</v>
      </c>
      <c r="D9" s="138">
        <v>0</v>
      </c>
      <c r="E9" s="138">
        <v>0</v>
      </c>
      <c r="N9" s="17">
        <v>1</v>
      </c>
      <c r="O9" s="140">
        <v>1695.6000000000058</v>
      </c>
      <c r="P9" s="138">
        <v>0</v>
      </c>
      <c r="Q9" s="138">
        <v>0</v>
      </c>
    </row>
    <row r="10" spans="1:17">
      <c r="A10" s="138">
        <v>2012</v>
      </c>
      <c r="B10" s="140">
        <v>10084.8629609</v>
      </c>
      <c r="C10" s="140">
        <v>1695.6000000000058</v>
      </c>
      <c r="D10" s="138">
        <v>0</v>
      </c>
      <c r="E10" s="138">
        <v>0</v>
      </c>
      <c r="N10" s="17">
        <v>1</v>
      </c>
      <c r="O10" s="140">
        <v>1515.6999999999971</v>
      </c>
      <c r="P10" s="138">
        <v>0</v>
      </c>
      <c r="Q10" s="138">
        <v>0</v>
      </c>
    </row>
    <row r="11" spans="1:17">
      <c r="A11" s="138">
        <v>2013</v>
      </c>
      <c r="B11" s="140">
        <v>9525.0478595999994</v>
      </c>
      <c r="C11" s="140">
        <v>1515.6999999999971</v>
      </c>
      <c r="D11" s="138">
        <v>0</v>
      </c>
      <c r="E11" s="138">
        <v>0</v>
      </c>
      <c r="N11" s="17">
        <v>1</v>
      </c>
      <c r="O11" s="140">
        <v>767.20411147509731</v>
      </c>
      <c r="P11" s="138">
        <v>0</v>
      </c>
      <c r="Q11" s="138">
        <v>0</v>
      </c>
    </row>
    <row r="12" spans="1:17">
      <c r="A12" s="138">
        <v>2014</v>
      </c>
      <c r="B12" s="140">
        <v>8947.7364885999996</v>
      </c>
      <c r="C12" s="140">
        <v>767.20411147509731</v>
      </c>
      <c r="D12" s="138">
        <v>0</v>
      </c>
      <c r="E12" s="138">
        <v>0</v>
      </c>
      <c r="N12" s="17">
        <v>1</v>
      </c>
      <c r="O12" s="140">
        <v>323.09334284420038</v>
      </c>
      <c r="P12" s="138">
        <v>0</v>
      </c>
      <c r="Q12" s="138">
        <v>1</v>
      </c>
    </row>
    <row r="13" spans="1:17">
      <c r="A13" s="138">
        <v>2015</v>
      </c>
      <c r="B13" s="140">
        <v>7848.3547778999991</v>
      </c>
      <c r="C13" s="140">
        <v>323.09334284420038</v>
      </c>
      <c r="D13" s="138">
        <v>0</v>
      </c>
      <c r="E13" s="138">
        <v>1</v>
      </c>
      <c r="N13" s="17">
        <v>1</v>
      </c>
      <c r="O13" s="140">
        <v>-1118.5164172023942</v>
      </c>
      <c r="P13" s="138">
        <v>0</v>
      </c>
      <c r="Q13" s="138">
        <v>1</v>
      </c>
    </row>
    <row r="14" spans="1:17">
      <c r="A14" s="138">
        <v>2016</v>
      </c>
      <c r="B14" s="140">
        <v>7700.6521864999995</v>
      </c>
      <c r="C14" s="140">
        <v>-1118.5164172023942</v>
      </c>
      <c r="D14" s="138">
        <v>0</v>
      </c>
      <c r="E14" s="138">
        <v>1</v>
      </c>
      <c r="N14" s="17">
        <v>1</v>
      </c>
      <c r="O14" s="141">
        <v>-74.136786629605922</v>
      </c>
      <c r="P14" s="138">
        <v>0</v>
      </c>
      <c r="Q14" s="138">
        <v>1</v>
      </c>
    </row>
    <row r="15" spans="1:17">
      <c r="A15" s="138">
        <v>2017</v>
      </c>
      <c r="B15" s="141">
        <v>8269.5079999999998</v>
      </c>
      <c r="C15" s="141">
        <v>-74.136786629605922</v>
      </c>
      <c r="D15" s="138">
        <v>0</v>
      </c>
      <c r="E15" s="138">
        <v>1</v>
      </c>
      <c r="N15"/>
      <c r="O15"/>
      <c r="P15"/>
      <c r="Q15"/>
    </row>
    <row r="16" spans="1:17">
      <c r="A16" s="119"/>
      <c r="B16" s="119"/>
      <c r="C16" s="119"/>
      <c r="D16" s="119"/>
      <c r="E16" s="119"/>
    </row>
    <row r="17" spans="1:28" ht="18">
      <c r="A17" s="119"/>
      <c r="B17" s="119"/>
      <c r="C17" s="119"/>
      <c r="D17" s="119"/>
      <c r="E17" s="119"/>
      <c r="M17" s="112" t="s">
        <v>88</v>
      </c>
      <c r="N17" s="144">
        <f t="array" ref="N17:AA20">TRANSPOSE(N1:Q14)</f>
        <v>1</v>
      </c>
      <c r="O17" s="144">
        <v>1</v>
      </c>
      <c r="P17" s="144">
        <v>1</v>
      </c>
      <c r="Q17" s="144">
        <v>1</v>
      </c>
      <c r="R17" s="144">
        <v>1</v>
      </c>
      <c r="S17" s="144">
        <v>1</v>
      </c>
      <c r="T17" s="144">
        <v>1</v>
      </c>
      <c r="U17" s="144">
        <v>1</v>
      </c>
      <c r="V17" s="144">
        <v>1</v>
      </c>
      <c r="W17" s="144">
        <v>1</v>
      </c>
      <c r="X17" s="144">
        <v>1</v>
      </c>
      <c r="Y17" s="144">
        <v>1</v>
      </c>
      <c r="Z17" s="144">
        <v>1</v>
      </c>
      <c r="AA17" s="144">
        <v>1</v>
      </c>
      <c r="AB17"/>
    </row>
    <row r="18" spans="1:28">
      <c r="A18" s="118" t="s">
        <v>42</v>
      </c>
      <c r="B18" s="118" t="s">
        <v>43</v>
      </c>
      <c r="C18" s="118" t="s">
        <v>44</v>
      </c>
      <c r="D18" s="118" t="s">
        <v>49</v>
      </c>
      <c r="E18" s="119"/>
      <c r="N18" s="144">
        <v>1992.6000000000022</v>
      </c>
      <c r="O18" s="144">
        <v>2102.8999999999978</v>
      </c>
      <c r="P18" s="144">
        <v>2002.7000000000007</v>
      </c>
      <c r="Q18" s="144">
        <v>2724.0999999999985</v>
      </c>
      <c r="R18" s="144">
        <v>3084.0999999999985</v>
      </c>
      <c r="S18" s="144">
        <v>2058.1000000000058</v>
      </c>
      <c r="T18" s="144">
        <v>-3228.2000000000044</v>
      </c>
      <c r="U18" s="144">
        <v>1713.5999999999985</v>
      </c>
      <c r="V18" s="144">
        <v>1695.6000000000058</v>
      </c>
      <c r="W18" s="144">
        <v>1515.6999999999971</v>
      </c>
      <c r="X18" s="144">
        <v>767.20411147509731</v>
      </c>
      <c r="Y18" s="144">
        <v>323.09334284420038</v>
      </c>
      <c r="Z18" s="144">
        <v>-1118.5164172023942</v>
      </c>
      <c r="AA18" s="144">
        <v>-74.136786629605922</v>
      </c>
      <c r="AB18"/>
    </row>
    <row r="19" spans="1:28">
      <c r="A19" s="134">
        <f t="array" ref="A19:D23">LINEST(B2:B15,C2:E15,1,1)</f>
        <v>-447.86802024678707</v>
      </c>
      <c r="B19" s="134">
        <v>-2567.617459308899</v>
      </c>
      <c r="C19" s="134">
        <v>0.16612104384232315</v>
      </c>
      <c r="D19" s="134">
        <v>8435.5237389770118</v>
      </c>
      <c r="E19" s="119"/>
      <c r="N19" s="144">
        <v>0</v>
      </c>
      <c r="O19" s="144">
        <v>0</v>
      </c>
      <c r="P19" s="144">
        <v>0</v>
      </c>
      <c r="Q19" s="144">
        <v>0</v>
      </c>
      <c r="R19" s="144">
        <v>0</v>
      </c>
      <c r="S19" s="144">
        <v>1</v>
      </c>
      <c r="T19" s="144">
        <v>0</v>
      </c>
      <c r="U19" s="144">
        <v>0</v>
      </c>
      <c r="V19" s="144">
        <v>0</v>
      </c>
      <c r="W19" s="144">
        <v>0</v>
      </c>
      <c r="X19" s="144">
        <v>0</v>
      </c>
      <c r="Y19" s="144">
        <v>0</v>
      </c>
      <c r="Z19" s="144">
        <v>0</v>
      </c>
      <c r="AA19" s="144">
        <v>0</v>
      </c>
      <c r="AB19"/>
    </row>
    <row r="20" spans="1:28">
      <c r="A20" s="134">
        <v>1024.0010223650759</v>
      </c>
      <c r="B20" s="134">
        <v>1475.162027588995</v>
      </c>
      <c r="C20" s="134">
        <v>0.26000382301586</v>
      </c>
      <c r="D20" s="134">
        <v>578.84274560061249</v>
      </c>
      <c r="E20" s="119"/>
      <c r="N20" s="144">
        <v>0</v>
      </c>
      <c r="O20" s="144">
        <v>0</v>
      </c>
      <c r="P20" s="144">
        <v>0</v>
      </c>
      <c r="Q20" s="144">
        <v>0</v>
      </c>
      <c r="R20" s="144">
        <v>0</v>
      </c>
      <c r="S20" s="144">
        <v>0</v>
      </c>
      <c r="T20" s="144">
        <v>0</v>
      </c>
      <c r="U20" s="144">
        <v>0</v>
      </c>
      <c r="V20" s="144">
        <v>0</v>
      </c>
      <c r="W20" s="144">
        <v>0</v>
      </c>
      <c r="X20" s="144">
        <v>0</v>
      </c>
      <c r="Y20" s="144">
        <v>1</v>
      </c>
      <c r="Z20" s="144">
        <v>1</v>
      </c>
      <c r="AA20" s="144">
        <v>1</v>
      </c>
      <c r="AB20"/>
    </row>
    <row r="21" spans="1:28">
      <c r="A21" s="134">
        <v>0.26186136704749446</v>
      </c>
      <c r="B21" s="134">
        <v>1398.059390814542</v>
      </c>
      <c r="C21" s="134" t="e">
        <v>#N/A</v>
      </c>
      <c r="D21" s="134" t="e">
        <v>#N/A</v>
      </c>
      <c r="E21" s="119"/>
    </row>
    <row r="22" spans="1:28" ht="18">
      <c r="A22" s="134">
        <v>1.182530197613721</v>
      </c>
      <c r="B22" s="134">
        <v>10</v>
      </c>
      <c r="C22" s="134" t="e">
        <v>#N/A</v>
      </c>
      <c r="D22" s="134" t="e">
        <v>#N/A</v>
      </c>
      <c r="E22" s="119"/>
      <c r="M22" s="112" t="s">
        <v>92</v>
      </c>
      <c r="N22" s="144">
        <f t="array" ref="N22:Q25">MMULT(N17:AA20,N1:Q14)</f>
        <v>14</v>
      </c>
      <c r="O22" s="144">
        <v>15558.844250487298</v>
      </c>
      <c r="P22" s="144">
        <v>1</v>
      </c>
      <c r="Q22" s="144">
        <v>3</v>
      </c>
    </row>
    <row r="23" spans="1:28">
      <c r="A23" s="134">
        <v>6934014.3587731831</v>
      </c>
      <c r="B23" s="134">
        <v>19545700.602447283</v>
      </c>
      <c r="C23" s="134" t="e">
        <v>#N/A</v>
      </c>
      <c r="D23" s="134" t="e">
        <v>#N/A</v>
      </c>
      <c r="E23" s="119"/>
      <c r="M23" s="113" t="s">
        <v>90</v>
      </c>
      <c r="N23" s="144">
        <v>15558.844250487298</v>
      </c>
      <c r="O23" s="144">
        <v>54051292.435537621</v>
      </c>
      <c r="P23" s="144">
        <v>2058.1000000000058</v>
      </c>
      <c r="Q23" s="144">
        <v>-869.55986098779977</v>
      </c>
    </row>
    <row r="24" spans="1:28">
      <c r="N24" s="144">
        <v>1</v>
      </c>
      <c r="O24" s="144">
        <v>2058.1000000000058</v>
      </c>
      <c r="P24" s="144">
        <v>1</v>
      </c>
      <c r="Q24" s="144">
        <v>0</v>
      </c>
    </row>
    <row r="25" spans="1:28">
      <c r="N25" s="144">
        <v>3</v>
      </c>
      <c r="O25" s="144">
        <v>-869.55986098779977</v>
      </c>
      <c r="P25" s="144">
        <v>0</v>
      </c>
      <c r="Q25" s="144">
        <v>3</v>
      </c>
    </row>
    <row r="27" spans="1:28">
      <c r="M27" s="112" t="s">
        <v>91</v>
      </c>
      <c r="N27" s="17">
        <f t="array" ref="N27:Q30">MINVERSE(N22:Q25)</f>
        <v>0.17142333802683105</v>
      </c>
      <c r="O27" s="17">
        <v>-4.9702036555926098E-5</v>
      </c>
      <c r="P27" s="17">
        <v>-6.9131576591079213E-2</v>
      </c>
      <c r="Q27" s="17">
        <v>-0.18582963669295827</v>
      </c>
    </row>
    <row r="28" spans="1:28">
      <c r="N28" s="17">
        <v>-4.9702036555926085E-5</v>
      </c>
      <c r="O28" s="17">
        <v>3.4586628209376312E-8</v>
      </c>
      <c r="P28" s="17">
        <v>-2.1480702961791503E-5</v>
      </c>
      <c r="Q28" s="17">
        <v>5.9727084428520083E-5</v>
      </c>
    </row>
    <row r="29" spans="1:28">
      <c r="N29" s="17">
        <v>-6.9131576591079241E-2</v>
      </c>
      <c r="O29" s="17">
        <v>-2.1480702961791503E-5</v>
      </c>
      <c r="P29" s="17">
        <v>1.1133410113567423</v>
      </c>
      <c r="Q29" s="17">
        <v>6.2905324230620702E-2</v>
      </c>
    </row>
    <row r="30" spans="1:28">
      <c r="N30" s="17">
        <v>-0.18582963669295821</v>
      </c>
      <c r="O30" s="17">
        <v>5.9727084428520083E-5</v>
      </c>
      <c r="P30" s="17">
        <v>6.2905324230620688E-2</v>
      </c>
      <c r="Q30" s="17">
        <v>0.5364750617705818</v>
      </c>
    </row>
    <row r="32" spans="1:28" ht="18">
      <c r="M32" s="112" t="s">
        <v>93</v>
      </c>
      <c r="N32" s="17">
        <v>1</v>
      </c>
      <c r="P32" s="114" t="s">
        <v>95</v>
      </c>
      <c r="Q32" s="17">
        <f t="array" ref="Q32:T32">MMULT(H4:K4,N27:Q30)</f>
        <v>-4.7339153310561766E-2</v>
      </c>
      <c r="R32" s="17">
        <v>3.2942346204601293E-5</v>
      </c>
      <c r="S32" s="17">
        <v>-2.0459489413128307E-2</v>
      </c>
      <c r="T32" s="17">
        <v>0.39022093397265689</v>
      </c>
    </row>
    <row r="33" spans="1:17" ht="17.25">
      <c r="M33" s="113" t="s">
        <v>94</v>
      </c>
      <c r="N33" s="58">
        <v>662.60573864770413</v>
      </c>
      <c r="P33" s="115" t="s">
        <v>96</v>
      </c>
      <c r="Q33" s="51">
        <f>MMULT(Q32:T32,N32:N35)</f>
        <v>0.36470956830178336</v>
      </c>
    </row>
    <row r="34" spans="1:17">
      <c r="N34" s="17">
        <f>L32</f>
        <v>0</v>
      </c>
    </row>
    <row r="35" spans="1:17" s="142" customFormat="1" ht="15.75" thickBot="1">
      <c r="N35" s="143">
        <v>1</v>
      </c>
    </row>
    <row r="36" spans="1:17" ht="15.75" thickTop="1"/>
    <row r="37" spans="1:17" ht="16.5">
      <c r="A37" s="118" t="s">
        <v>15</v>
      </c>
      <c r="B37" s="118" t="s">
        <v>40</v>
      </c>
      <c r="C37" s="118" t="s">
        <v>39</v>
      </c>
      <c r="D37" s="118" t="s">
        <v>31</v>
      </c>
      <c r="E37" s="118" t="s">
        <v>34</v>
      </c>
      <c r="G37" s="106" t="s">
        <v>103</v>
      </c>
      <c r="H37" s="58">
        <v>7264.2719268000001</v>
      </c>
      <c r="M37" s="112" t="s">
        <v>87</v>
      </c>
      <c r="N37" s="139">
        <v>6390</v>
      </c>
      <c r="O37" s="138">
        <v>0</v>
      </c>
      <c r="P37" s="138">
        <v>0</v>
      </c>
    </row>
    <row r="38" spans="1:17" ht="16.5">
      <c r="A38" s="121">
        <v>2003</v>
      </c>
      <c r="B38" s="123">
        <v>6540.2</v>
      </c>
      <c r="C38" s="123">
        <v>6390</v>
      </c>
      <c r="D38" s="121">
        <v>0</v>
      </c>
      <c r="E38" s="121">
        <v>0</v>
      </c>
      <c r="G38" s="106" t="s">
        <v>81</v>
      </c>
      <c r="H38" s="17">
        <v>0</v>
      </c>
      <c r="M38" s="113" t="s">
        <v>89</v>
      </c>
      <c r="N38" s="139">
        <v>6540.2</v>
      </c>
      <c r="O38" s="138">
        <v>0</v>
      </c>
      <c r="P38" s="138">
        <v>0</v>
      </c>
    </row>
    <row r="39" spans="1:17" ht="16.5">
      <c r="A39" s="121">
        <v>2004</v>
      </c>
      <c r="B39" s="123">
        <v>6679</v>
      </c>
      <c r="C39" s="123">
        <v>6540.2</v>
      </c>
      <c r="D39" s="121">
        <v>0</v>
      </c>
      <c r="E39" s="121">
        <v>0</v>
      </c>
      <c r="G39" s="106" t="s">
        <v>82</v>
      </c>
      <c r="H39" s="109">
        <v>1</v>
      </c>
      <c r="N39" s="139">
        <v>6679</v>
      </c>
      <c r="O39" s="138">
        <v>0</v>
      </c>
      <c r="P39" s="138">
        <v>0</v>
      </c>
    </row>
    <row r="40" spans="1:17" ht="18">
      <c r="A40" s="121">
        <v>2005</v>
      </c>
      <c r="B40" s="123">
        <v>6775.3</v>
      </c>
      <c r="C40" s="123">
        <v>6679</v>
      </c>
      <c r="D40" s="121">
        <v>0</v>
      </c>
      <c r="E40" s="121">
        <v>0</v>
      </c>
      <c r="G40" s="110" t="s">
        <v>86</v>
      </c>
      <c r="H40" s="17">
        <f>H37</f>
        <v>7264.2719268000001</v>
      </c>
      <c r="I40" s="17">
        <f>H38</f>
        <v>0</v>
      </c>
      <c r="J40" s="17">
        <f>H39</f>
        <v>1</v>
      </c>
      <c r="N40" s="139">
        <v>6775.3</v>
      </c>
      <c r="O40" s="138">
        <v>0</v>
      </c>
      <c r="P40" s="138">
        <v>0</v>
      </c>
    </row>
    <row r="41" spans="1:17" ht="18">
      <c r="A41" s="121">
        <v>2006</v>
      </c>
      <c r="B41" s="123">
        <v>6931.9</v>
      </c>
      <c r="C41" s="123">
        <v>6775.3</v>
      </c>
      <c r="D41" s="121">
        <v>0</v>
      </c>
      <c r="E41" s="121">
        <v>0</v>
      </c>
      <c r="G41" s="108" t="s">
        <v>104</v>
      </c>
      <c r="H41" s="111">
        <f>C55*H40+B55*I40+A55*J40</f>
        <v>7218.2847773809308</v>
      </c>
      <c r="I41" s="112" t="s">
        <v>29</v>
      </c>
      <c r="N41" s="139">
        <v>6931.9</v>
      </c>
      <c r="O41" s="138">
        <v>0</v>
      </c>
      <c r="P41" s="138">
        <v>0</v>
      </c>
    </row>
    <row r="42" spans="1:17" ht="17.25">
      <c r="A42" s="121">
        <v>2007</v>
      </c>
      <c r="B42" s="123">
        <v>7120.7</v>
      </c>
      <c r="C42" s="123">
        <v>6931.9</v>
      </c>
      <c r="D42" s="121">
        <v>0</v>
      </c>
      <c r="E42" s="121">
        <v>0</v>
      </c>
      <c r="G42" s="108" t="s">
        <v>105</v>
      </c>
      <c r="H42" s="107">
        <v>7326.3820647624398</v>
      </c>
      <c r="I42" s="163" t="s">
        <v>83</v>
      </c>
      <c r="J42" s="164"/>
      <c r="N42" s="139">
        <v>7120.7</v>
      </c>
      <c r="O42" s="138">
        <v>0</v>
      </c>
      <c r="P42" s="138">
        <v>0</v>
      </c>
    </row>
    <row r="43" spans="1:17" ht="17.25">
      <c r="A43" s="121">
        <v>2008</v>
      </c>
      <c r="B43" s="123">
        <v>7359.9</v>
      </c>
      <c r="C43" s="123">
        <v>7120.7</v>
      </c>
      <c r="D43" s="121">
        <v>0</v>
      </c>
      <c r="E43" s="121">
        <v>0</v>
      </c>
      <c r="G43" s="116" t="s">
        <v>106</v>
      </c>
      <c r="H43" s="117">
        <f>B57*SQRT(1+Q69)</f>
        <v>154.93412098628792</v>
      </c>
      <c r="I43" s="164" t="s">
        <v>97</v>
      </c>
      <c r="J43" s="164"/>
      <c r="N43" s="139">
        <v>7359.9</v>
      </c>
      <c r="O43" s="138">
        <v>1</v>
      </c>
      <c r="P43" s="138">
        <v>0</v>
      </c>
    </row>
    <row r="44" spans="1:17">
      <c r="A44" s="138">
        <v>2009</v>
      </c>
      <c r="B44" s="139">
        <v>7314.5</v>
      </c>
      <c r="C44" s="139">
        <v>7359.9</v>
      </c>
      <c r="D44" s="138">
        <v>1</v>
      </c>
      <c r="E44" s="138">
        <v>0</v>
      </c>
      <c r="N44" s="139">
        <v>7314.5</v>
      </c>
      <c r="O44" s="138">
        <v>0</v>
      </c>
      <c r="P44" s="138">
        <v>0</v>
      </c>
    </row>
    <row r="45" spans="1:17">
      <c r="A45" s="138">
        <v>2010</v>
      </c>
      <c r="B45" s="139">
        <v>7205.7</v>
      </c>
      <c r="C45" s="139">
        <v>7314.5</v>
      </c>
      <c r="D45" s="138">
        <v>0</v>
      </c>
      <c r="E45" s="138">
        <v>0</v>
      </c>
      <c r="N45" s="139">
        <v>7205.7</v>
      </c>
      <c r="O45" s="138">
        <v>0</v>
      </c>
      <c r="P45" s="138">
        <v>0</v>
      </c>
    </row>
    <row r="46" spans="1:17">
      <c r="A46" s="138">
        <v>2011</v>
      </c>
      <c r="B46" s="139">
        <v>7306.7</v>
      </c>
      <c r="C46" s="139">
        <v>7205.7</v>
      </c>
      <c r="D46" s="138">
        <v>0</v>
      </c>
      <c r="E46" s="138">
        <v>0</v>
      </c>
      <c r="N46" s="139">
        <v>7306.7</v>
      </c>
      <c r="O46" s="138">
        <v>0</v>
      </c>
      <c r="P46" s="138">
        <v>0</v>
      </c>
    </row>
    <row r="47" spans="1:17">
      <c r="A47" s="138">
        <v>2012</v>
      </c>
      <c r="B47" s="140">
        <v>7498.7</v>
      </c>
      <c r="C47" s="139">
        <v>7306.7</v>
      </c>
      <c r="D47" s="138">
        <v>0</v>
      </c>
      <c r="E47" s="138">
        <v>0</v>
      </c>
      <c r="N47" s="140">
        <v>7498.7</v>
      </c>
      <c r="O47" s="138">
        <v>0</v>
      </c>
      <c r="P47" s="138">
        <v>0</v>
      </c>
    </row>
    <row r="48" spans="1:17">
      <c r="A48" s="138">
        <v>2013</v>
      </c>
      <c r="B48" s="140">
        <v>7562.6711761688503</v>
      </c>
      <c r="C48" s="140">
        <v>7498.7</v>
      </c>
      <c r="D48" s="138">
        <v>0</v>
      </c>
      <c r="E48" s="138">
        <v>0</v>
      </c>
      <c r="N48" s="140">
        <v>7562.6711761688503</v>
      </c>
      <c r="O48" s="138">
        <v>0</v>
      </c>
      <c r="P48" s="138">
        <v>0</v>
      </c>
    </row>
    <row r="49" spans="1:28">
      <c r="A49" s="138">
        <v>2014</v>
      </c>
      <c r="B49" s="140">
        <v>7401.9951260520202</v>
      </c>
      <c r="C49" s="140">
        <v>7562.6711761688503</v>
      </c>
      <c r="D49" s="138">
        <v>0</v>
      </c>
      <c r="E49" s="138">
        <v>0</v>
      </c>
      <c r="N49" s="140">
        <v>7401.9951260520202</v>
      </c>
      <c r="O49" s="138">
        <v>0</v>
      </c>
      <c r="P49" s="138">
        <v>1</v>
      </c>
    </row>
    <row r="50" spans="1:28">
      <c r="A50" s="138">
        <v>2015</v>
      </c>
      <c r="B50" s="140">
        <v>7170.7326642855796</v>
      </c>
      <c r="C50" s="140">
        <v>7401.9951260520202</v>
      </c>
      <c r="D50" s="138">
        <v>0</v>
      </c>
      <c r="E50" s="138">
        <v>1</v>
      </c>
      <c r="N50" s="140">
        <v>7170.7326642855796</v>
      </c>
      <c r="O50" s="138">
        <v>0</v>
      </c>
      <c r="P50" s="138">
        <v>1</v>
      </c>
    </row>
    <row r="51" spans="1:28">
      <c r="A51" s="138">
        <v>2016</v>
      </c>
      <c r="B51" s="140">
        <v>7238.2651898854401</v>
      </c>
      <c r="C51" s="140">
        <v>7170.7326642855796</v>
      </c>
      <c r="D51" s="138">
        <v>0</v>
      </c>
      <c r="E51" s="138">
        <v>1</v>
      </c>
      <c r="N51" s="140">
        <v>7238.2651898854401</v>
      </c>
      <c r="O51" s="138">
        <v>0</v>
      </c>
      <c r="P51" s="138">
        <v>1</v>
      </c>
    </row>
    <row r="52" spans="1:28">
      <c r="A52" s="138">
        <v>2017</v>
      </c>
      <c r="B52" s="141">
        <v>7264.2719268000001</v>
      </c>
      <c r="C52" s="140">
        <v>7238.2651898854401</v>
      </c>
      <c r="D52" s="138">
        <v>0</v>
      </c>
      <c r="E52" s="138">
        <v>1</v>
      </c>
    </row>
    <row r="53" spans="1:28" ht="18">
      <c r="A53" s="119"/>
      <c r="B53" s="119"/>
      <c r="C53" s="119"/>
      <c r="D53" s="119"/>
      <c r="E53" s="119"/>
      <c r="M53" s="112" t="s">
        <v>88</v>
      </c>
      <c r="N53" s="144">
        <f t="array" ref="N53:AA55" xml:space="preserve"> TRANSPOSE(N37:P51)</f>
        <v>6390</v>
      </c>
      <c r="O53" s="144">
        <v>6540.2</v>
      </c>
      <c r="P53" s="144">
        <v>6679</v>
      </c>
      <c r="Q53" s="144">
        <v>6775.3</v>
      </c>
      <c r="R53" s="144">
        <v>6931.9</v>
      </c>
      <c r="S53" s="144">
        <v>7120.7</v>
      </c>
      <c r="T53" s="144">
        <v>7359.9</v>
      </c>
      <c r="U53" s="144">
        <v>7314.5</v>
      </c>
      <c r="V53" s="144">
        <v>7205.7</v>
      </c>
      <c r="W53" s="144">
        <v>7306.7</v>
      </c>
      <c r="X53" s="144">
        <v>7498.7</v>
      </c>
      <c r="Y53" s="144">
        <v>7562.6711761688503</v>
      </c>
      <c r="Z53" s="144">
        <v>7401.9951260520202</v>
      </c>
      <c r="AA53" s="144">
        <v>7170.7326642855796</v>
      </c>
      <c r="AB53"/>
    </row>
    <row r="54" spans="1:28">
      <c r="A54" s="118" t="s">
        <v>46</v>
      </c>
      <c r="B54" s="118" t="s">
        <v>47</v>
      </c>
      <c r="C54" s="118" t="s">
        <v>48</v>
      </c>
      <c r="D54" s="132"/>
      <c r="E54" s="119"/>
      <c r="N54" s="144">
        <v>0</v>
      </c>
      <c r="O54" s="144">
        <v>0</v>
      </c>
      <c r="P54" s="144">
        <v>0</v>
      </c>
      <c r="Q54" s="144">
        <v>0</v>
      </c>
      <c r="R54" s="144">
        <v>0</v>
      </c>
      <c r="S54" s="144">
        <v>0</v>
      </c>
      <c r="T54" s="144">
        <v>1</v>
      </c>
      <c r="U54" s="144">
        <v>0</v>
      </c>
      <c r="V54" s="144">
        <v>0</v>
      </c>
      <c r="W54" s="144">
        <v>0</v>
      </c>
      <c r="X54" s="144">
        <v>0</v>
      </c>
      <c r="Y54" s="144">
        <v>0</v>
      </c>
      <c r="Z54" s="144">
        <v>0</v>
      </c>
      <c r="AA54" s="144">
        <v>0</v>
      </c>
      <c r="AB54"/>
    </row>
    <row r="55" spans="1:28">
      <c r="A55" s="135">
        <f t="array" ref="A55:C59">LINEST(B38:B52,C38:E52,0,1)</f>
        <v>-141.20014024193026</v>
      </c>
      <c r="B55" s="135">
        <v>-141.86639033044486</v>
      </c>
      <c r="C55" s="135">
        <v>1.0131070245968619</v>
      </c>
      <c r="D55" s="132"/>
      <c r="E55" s="119"/>
      <c r="N55" s="144">
        <v>0</v>
      </c>
      <c r="O55" s="144">
        <v>0</v>
      </c>
      <c r="P55" s="144">
        <v>0</v>
      </c>
      <c r="Q55" s="144">
        <v>0</v>
      </c>
      <c r="R55" s="144">
        <v>0</v>
      </c>
      <c r="S55" s="144">
        <v>0</v>
      </c>
      <c r="T55" s="144">
        <v>0</v>
      </c>
      <c r="U55" s="144">
        <v>0</v>
      </c>
      <c r="V55" s="144">
        <v>0</v>
      </c>
      <c r="W55" s="144">
        <v>0</v>
      </c>
      <c r="X55" s="144">
        <v>0</v>
      </c>
      <c r="Y55" s="144">
        <v>0</v>
      </c>
      <c r="Z55" s="144">
        <v>1</v>
      </c>
      <c r="AA55" s="144">
        <v>1</v>
      </c>
      <c r="AB55"/>
    </row>
    <row r="56" spans="1:28">
      <c r="A56" s="137">
        <v>88.015840747038169</v>
      </c>
      <c r="B56" s="137">
        <v>140.68530636448227</v>
      </c>
      <c r="C56" s="137">
        <v>5.7467663531035442E-3</v>
      </c>
      <c r="D56" s="132"/>
      <c r="E56" s="119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1:28">
      <c r="A57" s="137">
        <v>0.99971936106016668</v>
      </c>
      <c r="B57" s="135">
        <v>134.17688129860107</v>
      </c>
      <c r="C57" s="137" t="e">
        <v>#N/A</v>
      </c>
      <c r="D57" s="132"/>
      <c r="E57" s="119"/>
    </row>
    <row r="58" spans="1:28" ht="18">
      <c r="A58" s="137">
        <v>14249.189533767762</v>
      </c>
      <c r="B58" s="137">
        <v>12</v>
      </c>
      <c r="C58" s="137" t="e">
        <v>#N/A</v>
      </c>
      <c r="D58" s="132"/>
      <c r="E58" s="119"/>
      <c r="M58" s="112" t="s">
        <v>92</v>
      </c>
      <c r="N58" s="144">
        <v>757881587.62671244</v>
      </c>
      <c r="O58" s="144">
        <v>7359.9</v>
      </c>
      <c r="P58" s="144">
        <v>21810.99298022304</v>
      </c>
      <c r="Q58"/>
    </row>
    <row r="59" spans="1:28">
      <c r="A59" s="137">
        <v>769603093.02750671</v>
      </c>
      <c r="B59" s="137">
        <v>216041.22570022655</v>
      </c>
      <c r="C59" s="137" t="e">
        <v>#N/A</v>
      </c>
      <c r="D59" s="132"/>
      <c r="E59" s="119"/>
      <c r="M59" s="113" t="s">
        <v>90</v>
      </c>
      <c r="N59" s="144">
        <v>7359.9</v>
      </c>
      <c r="O59" s="144">
        <v>1</v>
      </c>
      <c r="P59" s="144">
        <v>0</v>
      </c>
      <c r="Q59"/>
    </row>
    <row r="60" spans="1:28">
      <c r="N60" s="144">
        <v>21810.99298022304</v>
      </c>
      <c r="O60" s="144">
        <v>0</v>
      </c>
      <c r="P60" s="144">
        <v>3</v>
      </c>
      <c r="Q60"/>
    </row>
    <row r="61" spans="1:28">
      <c r="N61"/>
      <c r="O61"/>
      <c r="P61"/>
      <c r="Q61"/>
    </row>
    <row r="63" spans="1:28">
      <c r="M63" s="112" t="s">
        <v>91</v>
      </c>
      <c r="N63" s="144">
        <f t="array" ref="N63:P65">MINVERSE(N58:P60)</f>
        <v>1.8343900842141006E-9</v>
      </c>
      <c r="O63" s="144">
        <v>-1.3500927580807357E-5</v>
      </c>
      <c r="P63" s="144">
        <v>-1.3336623083261499E-5</v>
      </c>
      <c r="Q63"/>
    </row>
    <row r="64" spans="1:28">
      <c r="N64" s="144">
        <v>-1.3500927580807357E-5</v>
      </c>
      <c r="O64" s="144">
        <v>1.0993654769019841</v>
      </c>
      <c r="P64" s="144">
        <v>9.8156212230496295E-2</v>
      </c>
      <c r="Q64"/>
    </row>
    <row r="65" spans="13:20">
      <c r="N65" s="144">
        <v>-1.3336623083261499E-5</v>
      </c>
      <c r="O65" s="144">
        <v>9.8156212230496295E-2</v>
      </c>
      <c r="P65" s="144">
        <v>0.43029499748296574</v>
      </c>
      <c r="Q65"/>
    </row>
    <row r="66" spans="13:20">
      <c r="N66"/>
      <c r="O66"/>
      <c r="P66"/>
      <c r="Q66"/>
    </row>
    <row r="68" spans="13:20" ht="18">
      <c r="M68" s="112" t="s">
        <v>93</v>
      </c>
      <c r="N68" s="17">
        <v>7264.2719268000001</v>
      </c>
      <c r="P68" s="114" t="s">
        <v>95</v>
      </c>
      <c r="Q68" s="144">
        <f t="array" ref="Q68:S68">MMULT(H40:J40,N63:P65)</f>
        <v>-1.111469170472021E-8</v>
      </c>
      <c r="R68" s="144">
        <v>8.1803019477577621E-5</v>
      </c>
      <c r="S68" s="144">
        <v>0.33341414082091636</v>
      </c>
      <c r="T68"/>
    </row>
    <row r="69" spans="13:20" ht="17.25">
      <c r="M69" s="113" t="s">
        <v>94</v>
      </c>
      <c r="N69" s="17">
        <f>L68</f>
        <v>0</v>
      </c>
      <c r="P69" s="115" t="s">
        <v>96</v>
      </c>
      <c r="Q69" s="146">
        <f t="array" ref="Q69">MMULT(Q68:S68,N68:N70)</f>
        <v>0.33333340067799072</v>
      </c>
    </row>
    <row r="70" spans="13:20">
      <c r="N70" s="17">
        <v>1</v>
      </c>
    </row>
  </sheetData>
  <mergeCells count="4">
    <mergeCell ref="I6:J6"/>
    <mergeCell ref="I7:J7"/>
    <mergeCell ref="I42:J42"/>
    <mergeCell ref="I43:J43"/>
  </mergeCells>
  <pageMargins left="0.7" right="0.7" top="0.75" bottom="0.75" header="0.3" footer="0.3"/>
  <pageSetup paperSize="9" scale="41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workbookViewId="0">
      <selection activeCell="U13" sqref="U13"/>
    </sheetView>
  </sheetViews>
  <sheetFormatPr defaultColWidth="9.140625" defaultRowHeight="15"/>
  <cols>
    <col min="1" max="1" width="12.42578125" style="145" bestFit="1" customWidth="1"/>
    <col min="2" max="2" width="12" style="145" bestFit="1" customWidth="1"/>
    <col min="3" max="18" width="9.140625" style="145"/>
    <col min="19" max="19" width="11" style="145" customWidth="1"/>
    <col min="20" max="16384" width="9.140625" style="145"/>
  </cols>
  <sheetData>
    <row r="1" spans="1:34" ht="31.5">
      <c r="A1" s="150" t="s">
        <v>15</v>
      </c>
      <c r="B1" s="150" t="s">
        <v>32</v>
      </c>
      <c r="C1" s="150" t="s">
        <v>33</v>
      </c>
      <c r="D1" s="150" t="s">
        <v>31</v>
      </c>
      <c r="E1" s="150" t="s">
        <v>34</v>
      </c>
      <c r="G1" s="46" t="s">
        <v>80</v>
      </c>
      <c r="H1" s="17">
        <v>43533.749989135002</v>
      </c>
      <c r="M1" s="150" t="s">
        <v>15</v>
      </c>
      <c r="N1" s="150" t="s">
        <v>38</v>
      </c>
      <c r="O1" s="150" t="s">
        <v>41</v>
      </c>
      <c r="P1" s="150" t="s">
        <v>31</v>
      </c>
      <c r="Q1" s="150" t="s">
        <v>34</v>
      </c>
      <c r="S1" s="46" t="s">
        <v>99</v>
      </c>
      <c r="T1" s="17">
        <v>662.60573864770413</v>
      </c>
      <c r="Y1" s="150" t="s">
        <v>15</v>
      </c>
      <c r="Z1" s="150" t="s">
        <v>40</v>
      </c>
      <c r="AA1" s="150" t="s">
        <v>39</v>
      </c>
      <c r="AB1" s="150" t="s">
        <v>31</v>
      </c>
      <c r="AC1" s="150" t="s">
        <v>34</v>
      </c>
      <c r="AE1" s="46" t="s">
        <v>103</v>
      </c>
      <c r="AF1" s="17">
        <v>7264.2719268000001</v>
      </c>
    </row>
    <row r="2" spans="1:34" ht="16.5">
      <c r="A2" s="17">
        <v>2003</v>
      </c>
      <c r="B2" s="17">
        <v>11159.8</v>
      </c>
      <c r="C2" s="17">
        <v>27312.3</v>
      </c>
      <c r="D2" s="17">
        <v>0</v>
      </c>
      <c r="E2" s="17">
        <v>0</v>
      </c>
      <c r="G2" s="46" t="s">
        <v>81</v>
      </c>
      <c r="H2" s="17">
        <v>0</v>
      </c>
      <c r="M2" s="17">
        <v>2004</v>
      </c>
      <c r="N2" s="17">
        <v>6056.2</v>
      </c>
      <c r="O2" s="17">
        <v>1992.6000000000022</v>
      </c>
      <c r="P2" s="17">
        <v>0</v>
      </c>
      <c r="Q2" s="17">
        <v>0</v>
      </c>
      <c r="S2" s="46" t="s">
        <v>81</v>
      </c>
      <c r="T2" s="17">
        <v>0</v>
      </c>
      <c r="Y2" s="17">
        <v>2003</v>
      </c>
      <c r="Z2" s="17">
        <v>6540.2</v>
      </c>
      <c r="AA2" s="17">
        <v>6390</v>
      </c>
      <c r="AB2" s="17">
        <v>0</v>
      </c>
      <c r="AC2" s="17">
        <v>0</v>
      </c>
      <c r="AE2" s="46" t="s">
        <v>81</v>
      </c>
      <c r="AF2" s="17">
        <v>0</v>
      </c>
    </row>
    <row r="3" spans="1:34" ht="16.5">
      <c r="A3" s="17">
        <v>2004</v>
      </c>
      <c r="B3" s="17">
        <v>12550.7</v>
      </c>
      <c r="C3" s="17">
        <v>29304.9</v>
      </c>
      <c r="D3" s="17">
        <v>0</v>
      </c>
      <c r="E3" s="17">
        <v>0</v>
      </c>
      <c r="G3" s="46" t="s">
        <v>82</v>
      </c>
      <c r="H3" s="109">
        <v>1</v>
      </c>
      <c r="M3" s="17">
        <v>2005</v>
      </c>
      <c r="N3" s="17">
        <v>6631.1</v>
      </c>
      <c r="O3" s="17">
        <v>2102.8999999999978</v>
      </c>
      <c r="P3" s="17">
        <v>0</v>
      </c>
      <c r="Q3" s="17">
        <v>0</v>
      </c>
      <c r="S3" s="46" t="s">
        <v>82</v>
      </c>
      <c r="T3" s="17">
        <v>1</v>
      </c>
      <c r="Y3" s="17">
        <v>2004</v>
      </c>
      <c r="Z3" s="17">
        <v>6679</v>
      </c>
      <c r="AA3" s="17">
        <v>6540.2</v>
      </c>
      <c r="AB3" s="17">
        <v>0</v>
      </c>
      <c r="AC3" s="17">
        <v>0</v>
      </c>
      <c r="AE3" s="46" t="s">
        <v>82</v>
      </c>
      <c r="AF3" s="17">
        <v>1</v>
      </c>
    </row>
    <row r="4" spans="1:34" ht="18">
      <c r="A4" s="17">
        <v>2005</v>
      </c>
      <c r="B4" s="17">
        <v>14087.4</v>
      </c>
      <c r="C4" s="17">
        <v>31407.8</v>
      </c>
      <c r="D4" s="17">
        <v>0</v>
      </c>
      <c r="E4" s="17">
        <v>0</v>
      </c>
      <c r="G4" s="150" t="s">
        <v>86</v>
      </c>
      <c r="H4" s="17">
        <v>1</v>
      </c>
      <c r="I4" s="17">
        <v>43533.749989135002</v>
      </c>
      <c r="J4" s="17">
        <v>0</v>
      </c>
      <c r="K4" s="17">
        <v>1</v>
      </c>
      <c r="M4" s="17">
        <v>2006</v>
      </c>
      <c r="N4" s="17">
        <v>7806.4</v>
      </c>
      <c r="O4" s="17">
        <v>2002.7000000000007</v>
      </c>
      <c r="P4" s="17">
        <v>0</v>
      </c>
      <c r="Q4" s="17">
        <v>0</v>
      </c>
      <c r="S4" s="150" t="s">
        <v>86</v>
      </c>
      <c r="T4" s="17">
        <v>1</v>
      </c>
      <c r="U4" s="17">
        <v>662.60573864770413</v>
      </c>
      <c r="V4" s="17">
        <v>0</v>
      </c>
      <c r="W4" s="17">
        <v>1</v>
      </c>
      <c r="Y4" s="17">
        <v>2005</v>
      </c>
      <c r="Z4" s="17">
        <v>6775.3</v>
      </c>
      <c r="AA4" s="17">
        <v>6679</v>
      </c>
      <c r="AB4" s="17">
        <v>0</v>
      </c>
      <c r="AC4" s="17">
        <v>0</v>
      </c>
      <c r="AE4" s="150" t="s">
        <v>86</v>
      </c>
      <c r="AF4" s="17">
        <v>7264.2719268000001</v>
      </c>
      <c r="AG4" s="17">
        <v>0</v>
      </c>
      <c r="AH4" s="17">
        <v>1</v>
      </c>
    </row>
    <row r="5" spans="1:34" ht="18">
      <c r="A5" s="17">
        <v>2006</v>
      </c>
      <c r="B5" s="17">
        <v>15799.7</v>
      </c>
      <c r="C5" s="17">
        <v>33410.5</v>
      </c>
      <c r="D5" s="17">
        <v>0</v>
      </c>
      <c r="E5" s="17">
        <v>0</v>
      </c>
      <c r="G5" s="151" t="s">
        <v>84</v>
      </c>
      <c r="H5" s="149">
        <v>22438.884695265529</v>
      </c>
      <c r="I5" s="145" t="s">
        <v>29</v>
      </c>
      <c r="M5" s="17">
        <v>2007</v>
      </c>
      <c r="N5" s="17">
        <v>9526.5</v>
      </c>
      <c r="O5" s="17">
        <v>2724.0999999999985</v>
      </c>
      <c r="P5" s="17">
        <v>0</v>
      </c>
      <c r="Q5" s="17">
        <v>0</v>
      </c>
      <c r="S5" s="151" t="s">
        <v>100</v>
      </c>
      <c r="T5" s="17">
        <v>8097.7284756902945</v>
      </c>
      <c r="U5" s="145" t="s">
        <v>29</v>
      </c>
      <c r="Y5" s="17">
        <v>2006</v>
      </c>
      <c r="Z5" s="17">
        <v>6931.9</v>
      </c>
      <c r="AA5" s="17">
        <v>6775.3</v>
      </c>
      <c r="AB5" s="17">
        <v>0</v>
      </c>
      <c r="AC5" s="17">
        <v>0</v>
      </c>
      <c r="AE5" s="151" t="s">
        <v>104</v>
      </c>
      <c r="AF5" s="17">
        <v>7218.2847773809308</v>
      </c>
      <c r="AG5" s="145" t="s">
        <v>29</v>
      </c>
    </row>
    <row r="6" spans="1:34" ht="17.25">
      <c r="A6" s="17">
        <v>2007</v>
      </c>
      <c r="B6" s="17">
        <v>18060.8</v>
      </c>
      <c r="C6" s="17">
        <v>36134.6</v>
      </c>
      <c r="D6" s="17">
        <v>0</v>
      </c>
      <c r="E6" s="17">
        <v>0</v>
      </c>
      <c r="G6" s="151" t="s">
        <v>85</v>
      </c>
      <c r="H6" s="17">
        <v>23010.044974890901</v>
      </c>
      <c r="I6" s="163" t="s">
        <v>83</v>
      </c>
      <c r="J6" s="164"/>
      <c r="M6" s="17">
        <v>2008</v>
      </c>
      <c r="N6" s="17">
        <v>10526.1</v>
      </c>
      <c r="O6" s="17">
        <v>3084.0999999999985</v>
      </c>
      <c r="P6" s="17">
        <v>0</v>
      </c>
      <c r="Q6" s="17">
        <v>0</v>
      </c>
      <c r="S6" s="151" t="s">
        <v>101</v>
      </c>
      <c r="T6" s="17">
        <v>8393.4108784662603</v>
      </c>
      <c r="U6" s="163" t="s">
        <v>83</v>
      </c>
      <c r="V6" s="164"/>
      <c r="Y6" s="17">
        <v>2007</v>
      </c>
      <c r="Z6" s="17">
        <v>7120.7</v>
      </c>
      <c r="AA6" s="17">
        <v>6931.9</v>
      </c>
      <c r="AB6" s="17">
        <v>0</v>
      </c>
      <c r="AC6" s="17">
        <v>0</v>
      </c>
      <c r="AE6" s="151" t="s">
        <v>105</v>
      </c>
      <c r="AF6" s="17">
        <v>7326.3820647624398</v>
      </c>
      <c r="AG6" s="163" t="s">
        <v>83</v>
      </c>
      <c r="AH6" s="164"/>
    </row>
    <row r="7" spans="1:34" ht="17.25">
      <c r="A7" s="17">
        <v>2008</v>
      </c>
      <c r="B7" s="17">
        <v>19967</v>
      </c>
      <c r="C7" s="17">
        <v>39218.699999999997</v>
      </c>
      <c r="D7" s="17">
        <v>0</v>
      </c>
      <c r="E7" s="17">
        <v>0</v>
      </c>
      <c r="G7" s="152" t="s">
        <v>98</v>
      </c>
      <c r="H7" s="148">
        <v>469.44038454437577</v>
      </c>
      <c r="I7" s="163" t="s">
        <v>97</v>
      </c>
      <c r="J7" s="164"/>
      <c r="M7" s="17">
        <v>2009</v>
      </c>
      <c r="N7" s="17">
        <v>6209.8</v>
      </c>
      <c r="O7" s="17">
        <v>2058.1000000000058</v>
      </c>
      <c r="P7" s="17">
        <v>1</v>
      </c>
      <c r="Q7" s="17">
        <v>0</v>
      </c>
      <c r="S7" s="152" t="s">
        <v>102</v>
      </c>
      <c r="T7" s="17">
        <v>1633.223947636139</v>
      </c>
      <c r="U7" s="163" t="s">
        <v>97</v>
      </c>
      <c r="V7" s="164"/>
      <c r="Y7" s="17">
        <v>2008</v>
      </c>
      <c r="Z7" s="17">
        <v>7359.9</v>
      </c>
      <c r="AA7" s="17">
        <v>7120.7</v>
      </c>
      <c r="AB7" s="17">
        <v>0</v>
      </c>
      <c r="AC7" s="17">
        <v>0</v>
      </c>
      <c r="AE7" s="152" t="s">
        <v>106</v>
      </c>
      <c r="AF7" s="17">
        <v>154.93412098628792</v>
      </c>
      <c r="AG7" s="163" t="s">
        <v>97</v>
      </c>
      <c r="AH7" s="164"/>
    </row>
    <row r="8" spans="1:34">
      <c r="A8" s="17">
        <v>2009</v>
      </c>
      <c r="B8" s="17">
        <v>18946.599999999999</v>
      </c>
      <c r="C8" s="17">
        <v>41276.800000000003</v>
      </c>
      <c r="D8" s="17">
        <v>1</v>
      </c>
      <c r="E8" s="17">
        <v>0</v>
      </c>
      <c r="M8" s="17">
        <v>2010</v>
      </c>
      <c r="N8" s="17">
        <v>7982.2</v>
      </c>
      <c r="O8" s="17">
        <v>-3228.2000000000044</v>
      </c>
      <c r="P8" s="17">
        <v>0</v>
      </c>
      <c r="Q8" s="17">
        <v>0</v>
      </c>
      <c r="Y8" s="17">
        <v>2009</v>
      </c>
      <c r="Z8" s="17">
        <v>7314.5</v>
      </c>
      <c r="AA8" s="17">
        <v>7359.9</v>
      </c>
      <c r="AB8" s="17">
        <v>1</v>
      </c>
      <c r="AC8" s="17">
        <v>0</v>
      </c>
    </row>
    <row r="9" spans="1:34">
      <c r="A9" s="17">
        <v>2010</v>
      </c>
      <c r="B9" s="17">
        <v>19993.8</v>
      </c>
      <c r="C9" s="17">
        <v>38048.6</v>
      </c>
      <c r="D9" s="17">
        <v>0</v>
      </c>
      <c r="E9" s="17">
        <v>0</v>
      </c>
      <c r="G9" s="150" t="s">
        <v>57</v>
      </c>
      <c r="H9" s="17">
        <v>0.95</v>
      </c>
      <c r="M9" s="17">
        <v>2011</v>
      </c>
      <c r="N9" s="17">
        <v>9656.2999999999993</v>
      </c>
      <c r="O9" s="17">
        <v>1713.5999999999985</v>
      </c>
      <c r="P9" s="17">
        <v>0</v>
      </c>
      <c r="Q9" s="17">
        <v>0</v>
      </c>
      <c r="S9" s="150" t="s">
        <v>57</v>
      </c>
      <c r="T9" s="17">
        <v>0.95</v>
      </c>
      <c r="Y9" s="17">
        <v>2010</v>
      </c>
      <c r="Z9" s="17">
        <v>7205.7</v>
      </c>
      <c r="AA9" s="17">
        <v>7314.5</v>
      </c>
      <c r="AB9" s="17">
        <v>0</v>
      </c>
      <c r="AC9" s="17">
        <v>0</v>
      </c>
      <c r="AE9" s="150" t="s">
        <v>57</v>
      </c>
      <c r="AF9" s="17">
        <v>0.95</v>
      </c>
    </row>
    <row r="10" spans="1:34" ht="16.5">
      <c r="A10" s="17">
        <v>2011</v>
      </c>
      <c r="B10" s="17">
        <v>21356.2</v>
      </c>
      <c r="C10" s="17">
        <v>39762.199999999997</v>
      </c>
      <c r="D10" s="17">
        <v>0</v>
      </c>
      <c r="E10" s="17">
        <v>0</v>
      </c>
      <c r="G10" s="150" t="s">
        <v>107</v>
      </c>
      <c r="H10" s="17">
        <f>_xlfn.T.INV.2T(1-H9,B22)</f>
        <v>2.2009851600916384</v>
      </c>
      <c r="M10" s="17">
        <v>2012</v>
      </c>
      <c r="N10" s="17">
        <v>10084.8629609</v>
      </c>
      <c r="O10" s="17">
        <v>1695.6000000000058</v>
      </c>
      <c r="P10" s="17">
        <v>0</v>
      </c>
      <c r="Q10" s="17">
        <v>0</v>
      </c>
      <c r="S10" s="150" t="s">
        <v>107</v>
      </c>
      <c r="T10" s="17">
        <f>_xlfn.T.INV.2T(1-T9,N22)</f>
        <v>2.2281388519862744</v>
      </c>
      <c r="Y10" s="17">
        <v>2011</v>
      </c>
      <c r="Z10" s="17">
        <v>7306.7</v>
      </c>
      <c r="AA10" s="17">
        <v>7205.7</v>
      </c>
      <c r="AB10" s="17">
        <v>0</v>
      </c>
      <c r="AC10" s="17">
        <v>0</v>
      </c>
      <c r="AE10" s="150" t="s">
        <v>107</v>
      </c>
      <c r="AF10" s="17">
        <f>_xlfn.T.INV.2T(1-AF9,Z22)</f>
        <v>2.178812829667228</v>
      </c>
    </row>
    <row r="11" spans="1:34" ht="18">
      <c r="A11" s="17">
        <v>2012</v>
      </c>
      <c r="B11" s="17">
        <v>23053.8</v>
      </c>
      <c r="C11" s="17">
        <v>41457.800000000003</v>
      </c>
      <c r="D11" s="17">
        <v>0</v>
      </c>
      <c r="E11" s="17">
        <v>0</v>
      </c>
      <c r="G11" s="150" t="s">
        <v>108</v>
      </c>
      <c r="H11" s="17">
        <f>H5-H10*H7</f>
        <v>21405.653375335645</v>
      </c>
      <c r="M11" s="17">
        <v>2013</v>
      </c>
      <c r="N11" s="17">
        <v>9525.0478595999994</v>
      </c>
      <c r="O11" s="17">
        <v>1515.6999999999971</v>
      </c>
      <c r="P11" s="17">
        <v>0</v>
      </c>
      <c r="Q11" s="17">
        <v>0</v>
      </c>
      <c r="S11" s="150" t="s">
        <v>108</v>
      </c>
      <c r="T11" s="17">
        <f>T5-T10*T7</f>
        <v>4458.6787439678174</v>
      </c>
      <c r="Y11" s="17">
        <v>2012</v>
      </c>
      <c r="Z11" s="17">
        <v>7498.7</v>
      </c>
      <c r="AA11" s="17">
        <v>7306.7</v>
      </c>
      <c r="AB11" s="17">
        <v>0</v>
      </c>
      <c r="AC11" s="17">
        <v>0</v>
      </c>
      <c r="AE11" s="150" t="s">
        <v>108</v>
      </c>
      <c r="AF11" s="17">
        <f>AF5-AF10*AF7</f>
        <v>6880.7123268227924</v>
      </c>
    </row>
    <row r="12" spans="1:34" ht="18">
      <c r="A12" s="17">
        <v>2013</v>
      </c>
      <c r="B12" s="17">
        <v>24263.159764191099</v>
      </c>
      <c r="C12" s="17">
        <v>42973.5</v>
      </c>
      <c r="D12" s="17">
        <v>0</v>
      </c>
      <c r="E12" s="17">
        <v>0</v>
      </c>
      <c r="G12" s="150" t="s">
        <v>109</v>
      </c>
      <c r="H12" s="17">
        <f>H5+H10*H7</f>
        <v>23472.116015195414</v>
      </c>
      <c r="M12" s="17">
        <v>2014</v>
      </c>
      <c r="N12" s="17">
        <v>8947.7364885999996</v>
      </c>
      <c r="O12" s="17">
        <v>767.20411147509731</v>
      </c>
      <c r="P12" s="17">
        <v>0</v>
      </c>
      <c r="Q12" s="17">
        <v>0</v>
      </c>
      <c r="S12" s="150" t="s">
        <v>109</v>
      </c>
      <c r="T12" s="17">
        <f>T5+T10*T7</f>
        <v>11736.778207412772</v>
      </c>
      <c r="Y12" s="17">
        <v>2013</v>
      </c>
      <c r="Z12" s="17">
        <v>7562.6711761688503</v>
      </c>
      <c r="AA12" s="17">
        <v>7498.7</v>
      </c>
      <c r="AB12" s="17">
        <v>0</v>
      </c>
      <c r="AC12" s="17">
        <v>0</v>
      </c>
      <c r="AE12" s="150" t="s">
        <v>109</v>
      </c>
      <c r="AF12" s="17">
        <f>AF5+AF10*AF7</f>
        <v>7555.8572279390692</v>
      </c>
    </row>
    <row r="13" spans="1:34">
      <c r="A13" s="17">
        <v>2014</v>
      </c>
      <c r="B13" s="17">
        <v>24736.3708425324</v>
      </c>
      <c r="C13" s="17">
        <v>43740.704111475097</v>
      </c>
      <c r="D13" s="17">
        <v>0</v>
      </c>
      <c r="E13" s="17">
        <v>0</v>
      </c>
      <c r="M13" s="17">
        <v>2015</v>
      </c>
      <c r="N13" s="17">
        <v>7848.3547778999991</v>
      </c>
      <c r="O13" s="17">
        <v>323.09334284420038</v>
      </c>
      <c r="P13" s="17">
        <v>0</v>
      </c>
      <c r="Q13" s="17">
        <v>1</v>
      </c>
      <c r="Y13" s="17">
        <v>2014</v>
      </c>
      <c r="Z13" s="17">
        <v>7401.9951260520202</v>
      </c>
      <c r="AA13" s="17">
        <v>7562.6711761688503</v>
      </c>
      <c r="AB13" s="17">
        <v>0</v>
      </c>
      <c r="AC13" s="17">
        <v>0</v>
      </c>
    </row>
    <row r="14" spans="1:34">
      <c r="A14" s="17">
        <v>2015</v>
      </c>
      <c r="B14" s="17">
        <v>22418.535331585401</v>
      </c>
      <c r="C14" s="17">
        <v>44063.797454319298</v>
      </c>
      <c r="D14" s="17">
        <v>0</v>
      </c>
      <c r="E14" s="17">
        <v>1</v>
      </c>
      <c r="M14" s="17">
        <v>2016</v>
      </c>
      <c r="N14" s="17">
        <v>7700.6521864999995</v>
      </c>
      <c r="O14" s="17">
        <v>-1118.5164172023942</v>
      </c>
      <c r="P14" s="17">
        <v>0</v>
      </c>
      <c r="Q14" s="17">
        <v>1</v>
      </c>
      <c r="Y14" s="17">
        <v>2015</v>
      </c>
      <c r="Z14" s="17">
        <v>7170.7326642855796</v>
      </c>
      <c r="AA14" s="17">
        <v>7401.9951260520202</v>
      </c>
      <c r="AB14" s="17">
        <v>0</v>
      </c>
      <c r="AC14" s="17">
        <v>1</v>
      </c>
    </row>
    <row r="15" spans="1:34">
      <c r="A15" s="17">
        <v>2016</v>
      </c>
      <c r="B15" s="17">
        <v>21780.763210474499</v>
      </c>
      <c r="C15" s="17">
        <v>42945.281037116903</v>
      </c>
      <c r="D15" s="17">
        <v>0</v>
      </c>
      <c r="E15" s="17">
        <v>1</v>
      </c>
      <c r="M15" s="17">
        <v>2017</v>
      </c>
      <c r="N15" s="17">
        <v>8269.5079999999998</v>
      </c>
      <c r="O15" s="17">
        <v>-74.136786629605922</v>
      </c>
      <c r="P15" s="17">
        <v>0</v>
      </c>
      <c r="Q15" s="17">
        <v>1</v>
      </c>
      <c r="Y15" s="17">
        <v>2016</v>
      </c>
      <c r="Z15" s="17">
        <v>7238.2651898854401</v>
      </c>
      <c r="AA15" s="17">
        <v>7170.7326642855796</v>
      </c>
      <c r="AB15" s="17">
        <v>0</v>
      </c>
      <c r="AC15" s="17">
        <v>1</v>
      </c>
    </row>
    <row r="16" spans="1:34">
      <c r="A16" s="17">
        <v>2017</v>
      </c>
      <c r="B16" s="17">
        <v>22511.920513599998</v>
      </c>
      <c r="C16" s="17">
        <v>42871.144250487298</v>
      </c>
      <c r="D16" s="17">
        <v>0</v>
      </c>
      <c r="E16" s="17">
        <v>1</v>
      </c>
      <c r="Y16" s="17">
        <v>2017</v>
      </c>
      <c r="Z16" s="17">
        <v>7264.2719268000001</v>
      </c>
      <c r="AA16" s="17">
        <v>7238.2651898854401</v>
      </c>
      <c r="AB16" s="17">
        <v>0</v>
      </c>
      <c r="AC16" s="17">
        <v>1</v>
      </c>
    </row>
    <row r="18" spans="1:27">
      <c r="A18" s="150" t="s">
        <v>45</v>
      </c>
      <c r="B18" s="150" t="s">
        <v>35</v>
      </c>
      <c r="C18" s="150" t="s">
        <v>36</v>
      </c>
      <c r="D18" s="150" t="s">
        <v>37</v>
      </c>
      <c r="M18" s="150" t="s">
        <v>42</v>
      </c>
      <c r="N18" s="150" t="s">
        <v>43</v>
      </c>
      <c r="O18" s="150" t="s">
        <v>44</v>
      </c>
      <c r="P18" s="150" t="s">
        <v>49</v>
      </c>
      <c r="Y18" s="150" t="s">
        <v>46</v>
      </c>
      <c r="Z18" s="150" t="s">
        <v>47</v>
      </c>
      <c r="AA18" s="150" t="s">
        <v>48</v>
      </c>
    </row>
    <row r="19" spans="1:27">
      <c r="A19" s="147">
        <v>-2009.1504072576204</v>
      </c>
      <c r="B19" s="147">
        <v>-3606.3102911452356</v>
      </c>
      <c r="C19" s="147">
        <v>0.83968400739984861</v>
      </c>
      <c r="D19" s="147">
        <v>-12106.558545496844</v>
      </c>
      <c r="M19" s="17">
        <v>-447.86802024678707</v>
      </c>
      <c r="N19" s="17">
        <v>-2567.617459308899</v>
      </c>
      <c r="O19" s="17">
        <v>0.16612104384232315</v>
      </c>
      <c r="P19" s="17">
        <v>8435.5237389770118</v>
      </c>
      <c r="Y19" s="17">
        <v>-141.20014024193026</v>
      </c>
      <c r="Z19" s="17">
        <v>-141.86639033044486</v>
      </c>
      <c r="AA19" s="17">
        <v>1.0131070245968619</v>
      </c>
    </row>
    <row r="20" spans="1:27">
      <c r="A20" s="147">
        <v>306.16646073646712</v>
      </c>
      <c r="B20" s="147">
        <v>437.94240852767524</v>
      </c>
      <c r="C20" s="147">
        <v>2.3018906433872478E-2</v>
      </c>
      <c r="D20" s="147">
        <v>851.71672124659347</v>
      </c>
      <c r="M20" s="17">
        <v>1024.0010223650759</v>
      </c>
      <c r="N20" s="17">
        <v>1475.162027588995</v>
      </c>
      <c r="O20" s="17">
        <v>0.26000382301586</v>
      </c>
      <c r="P20" s="17">
        <v>578.84274560061249</v>
      </c>
      <c r="Y20" s="17">
        <v>88.015840747038169</v>
      </c>
      <c r="Z20" s="17">
        <v>140.68530636448227</v>
      </c>
      <c r="AA20" s="17">
        <v>5.7467663531035442E-3</v>
      </c>
    </row>
    <row r="21" spans="1:27">
      <c r="A21" s="147">
        <v>0.99279877126980542</v>
      </c>
      <c r="B21" s="147">
        <v>406.51906502949629</v>
      </c>
      <c r="C21" s="147" t="e">
        <v>#N/A</v>
      </c>
      <c r="D21" s="147" t="e">
        <v>#N/A</v>
      </c>
      <c r="M21" s="17">
        <v>0.26186136704749446</v>
      </c>
      <c r="N21" s="17">
        <v>1398.059390814542</v>
      </c>
      <c r="O21" s="17" t="e">
        <v>#N/A</v>
      </c>
      <c r="P21" s="17" t="e">
        <v>#N/A</v>
      </c>
      <c r="Y21" s="17">
        <v>0.99971936106016668</v>
      </c>
      <c r="Z21" s="17">
        <v>134.17688129860107</v>
      </c>
      <c r="AA21" s="17" t="e">
        <v>#N/A</v>
      </c>
    </row>
    <row r="22" spans="1:27">
      <c r="A22" s="147">
        <v>505.50569877875176</v>
      </c>
      <c r="B22" s="51">
        <v>11</v>
      </c>
      <c r="C22" s="147" t="e">
        <v>#N/A</v>
      </c>
      <c r="D22" s="147" t="e">
        <v>#N/A</v>
      </c>
      <c r="M22" s="17">
        <v>1.182530197613721</v>
      </c>
      <c r="N22" s="17">
        <v>10</v>
      </c>
      <c r="O22" s="17" t="e">
        <v>#N/A</v>
      </c>
      <c r="P22" s="17" t="e">
        <v>#N/A</v>
      </c>
      <c r="Y22" s="17">
        <v>14249.189533767762</v>
      </c>
      <c r="Z22" s="17">
        <v>12</v>
      </c>
      <c r="AA22" s="17" t="e">
        <v>#N/A</v>
      </c>
    </row>
    <row r="23" spans="1:27">
      <c r="A23" s="147">
        <v>250616203.52958608</v>
      </c>
      <c r="B23" s="147">
        <v>1817835.2525570143</v>
      </c>
      <c r="C23" s="147" t="e">
        <v>#N/A</v>
      </c>
      <c r="D23" s="147" t="e">
        <v>#N/A</v>
      </c>
      <c r="M23" s="17">
        <v>6934014.3587731831</v>
      </c>
      <c r="N23" s="17">
        <v>19545700.602447283</v>
      </c>
      <c r="O23" s="17" t="e">
        <v>#N/A</v>
      </c>
      <c r="P23" s="17" t="e">
        <v>#N/A</v>
      </c>
      <c r="Y23" s="17">
        <v>769603093.02750671</v>
      </c>
      <c r="Z23" s="17">
        <v>216041.22570022655</v>
      </c>
      <c r="AA23" s="17" t="e">
        <v>#N/A</v>
      </c>
    </row>
  </sheetData>
  <mergeCells count="6">
    <mergeCell ref="I6:J6"/>
    <mergeCell ref="I7:J7"/>
    <mergeCell ref="U6:V6"/>
    <mergeCell ref="U7:V7"/>
    <mergeCell ref="AG6:AH6"/>
    <mergeCell ref="AG7:AH7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N27" sqref="N27"/>
    </sheetView>
  </sheetViews>
  <sheetFormatPr defaultColWidth="9.140625" defaultRowHeight="15"/>
  <cols>
    <col min="1" max="1" width="12.42578125" style="153" bestFit="1" customWidth="1"/>
    <col min="2" max="2" width="12" style="153" bestFit="1" customWidth="1"/>
    <col min="3" max="18" width="9.140625" style="153"/>
    <col min="19" max="19" width="11" style="153" customWidth="1"/>
    <col min="20" max="16384" width="9.140625" style="153"/>
  </cols>
  <sheetData>
    <row r="1" spans="1:34" ht="16.5">
      <c r="A1" s="150" t="s">
        <v>15</v>
      </c>
      <c r="B1" s="150" t="s">
        <v>32</v>
      </c>
      <c r="C1" s="150" t="s">
        <v>33</v>
      </c>
      <c r="D1" s="150" t="s">
        <v>31</v>
      </c>
      <c r="E1" s="150" t="s">
        <v>34</v>
      </c>
      <c r="G1" s="46" t="s">
        <v>80</v>
      </c>
      <c r="H1" s="17">
        <v>43533.749989135002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ht="16.5">
      <c r="A2" s="17">
        <v>2003</v>
      </c>
      <c r="B2" s="17">
        <v>11159.8</v>
      </c>
      <c r="C2" s="17">
        <v>27312.3</v>
      </c>
      <c r="D2" s="17">
        <v>0</v>
      </c>
      <c r="E2" s="17">
        <v>0</v>
      </c>
      <c r="G2" s="46" t="s">
        <v>81</v>
      </c>
      <c r="H2" s="17">
        <v>0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ht="16.5">
      <c r="A3" s="17">
        <v>2004</v>
      </c>
      <c r="B3" s="17">
        <v>12550.7</v>
      </c>
      <c r="C3" s="17">
        <v>29304.9</v>
      </c>
      <c r="D3" s="17">
        <v>0</v>
      </c>
      <c r="E3" s="17">
        <v>0</v>
      </c>
      <c r="G3" s="46" t="s">
        <v>82</v>
      </c>
      <c r="H3" s="109">
        <v>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ht="18">
      <c r="A4" s="17">
        <v>2005</v>
      </c>
      <c r="B4" s="17">
        <v>14087.4</v>
      </c>
      <c r="C4" s="17">
        <v>31407.8</v>
      </c>
      <c r="D4" s="17">
        <v>0</v>
      </c>
      <c r="E4" s="17">
        <v>0</v>
      </c>
      <c r="G4" s="150" t="s">
        <v>86</v>
      </c>
      <c r="H4" s="17">
        <v>1</v>
      </c>
      <c r="I4" s="17">
        <v>43533.749989135002</v>
      </c>
      <c r="J4" s="17">
        <v>0</v>
      </c>
      <c r="K4" s="17">
        <v>1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ht="18">
      <c r="A5" s="17">
        <v>2006</v>
      </c>
      <c r="B5" s="17">
        <v>15799.7</v>
      </c>
      <c r="C5" s="17">
        <v>33410.5</v>
      </c>
      <c r="D5" s="17">
        <v>0</v>
      </c>
      <c r="E5" s="17">
        <v>0</v>
      </c>
      <c r="G5" s="151" t="s">
        <v>84</v>
      </c>
      <c r="H5" s="149">
        <v>22438.884695265529</v>
      </c>
      <c r="I5" s="153" t="s">
        <v>29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ht="17.25">
      <c r="A6" s="17">
        <v>2007</v>
      </c>
      <c r="B6" s="17">
        <v>18060.8</v>
      </c>
      <c r="C6" s="17">
        <v>36134.6</v>
      </c>
      <c r="D6" s="17">
        <v>0</v>
      </c>
      <c r="E6" s="17">
        <v>0</v>
      </c>
      <c r="G6" s="151" t="s">
        <v>85</v>
      </c>
      <c r="H6" s="17">
        <v>23010.044974890901</v>
      </c>
      <c r="I6" s="163" t="s">
        <v>83</v>
      </c>
      <c r="J6" s="164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ht="17.25">
      <c r="A7" s="17">
        <v>2008</v>
      </c>
      <c r="B7" s="17">
        <v>19967</v>
      </c>
      <c r="C7" s="17">
        <v>39218.699999999997</v>
      </c>
      <c r="D7" s="17">
        <v>0</v>
      </c>
      <c r="E7" s="17">
        <v>0</v>
      </c>
      <c r="G7" s="152" t="s">
        <v>98</v>
      </c>
      <c r="H7" s="148">
        <v>469.44038454437577</v>
      </c>
      <c r="I7" s="163" t="s">
        <v>97</v>
      </c>
      <c r="J7" s="164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>
      <c r="A8" s="17">
        <v>2009</v>
      </c>
      <c r="B8" s="17">
        <v>18946.599999999999</v>
      </c>
      <c r="C8" s="17">
        <v>41276.800000000003</v>
      </c>
      <c r="D8" s="17">
        <v>1</v>
      </c>
      <c r="E8" s="17">
        <v>0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>
      <c r="A9" s="17">
        <v>2010</v>
      </c>
      <c r="B9" s="17">
        <v>19993.8</v>
      </c>
      <c r="C9" s="17">
        <v>38048.6</v>
      </c>
      <c r="D9" s="17">
        <v>0</v>
      </c>
      <c r="E9" s="17">
        <v>0</v>
      </c>
      <c r="G9" s="150" t="s">
        <v>57</v>
      </c>
      <c r="H9" s="17">
        <v>0.95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ht="16.5">
      <c r="A10" s="17">
        <v>2011</v>
      </c>
      <c r="B10" s="17">
        <v>21356.2</v>
      </c>
      <c r="C10" s="17">
        <v>39762.199999999997</v>
      </c>
      <c r="D10" s="17">
        <v>0</v>
      </c>
      <c r="E10" s="17">
        <v>0</v>
      </c>
      <c r="G10" s="150" t="s">
        <v>107</v>
      </c>
      <c r="H10" s="17">
        <f>_xlfn.T.INV.2T(1-H9,B24)</f>
        <v>2.2009851600916384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ht="18">
      <c r="A11" s="17">
        <v>2012</v>
      </c>
      <c r="B11" s="17">
        <v>23053.8</v>
      </c>
      <c r="C11" s="17">
        <v>41457.800000000003</v>
      </c>
      <c r="D11" s="17">
        <v>0</v>
      </c>
      <c r="E11" s="17">
        <v>0</v>
      </c>
      <c r="G11" s="150" t="s">
        <v>108</v>
      </c>
      <c r="H11" s="17">
        <f>H5-H10*H7</f>
        <v>21405.653375335645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ht="18">
      <c r="A12" s="17">
        <v>2013</v>
      </c>
      <c r="B12" s="17">
        <v>24263.159764191099</v>
      </c>
      <c r="C12" s="17">
        <v>42973.5</v>
      </c>
      <c r="D12" s="17">
        <v>0</v>
      </c>
      <c r="E12" s="17">
        <v>0</v>
      </c>
      <c r="G12" s="150" t="s">
        <v>109</v>
      </c>
      <c r="H12" s="17">
        <f>H5+H10*H7</f>
        <v>23472.116015195414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>
      <c r="A13" s="17">
        <v>2014</v>
      </c>
      <c r="B13" s="17">
        <v>24736.3708425324</v>
      </c>
      <c r="C13" s="17">
        <v>43740.704111475097</v>
      </c>
      <c r="D13" s="17">
        <v>0</v>
      </c>
      <c r="E13" s="17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>
      <c r="A14" s="17">
        <v>2015</v>
      </c>
      <c r="B14" s="17">
        <v>22418.535331585401</v>
      </c>
      <c r="C14" s="17">
        <v>44063.797454319298</v>
      </c>
      <c r="D14" s="17">
        <v>0</v>
      </c>
      <c r="E14" s="17">
        <v>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>
      <c r="A15" s="17">
        <v>2016</v>
      </c>
      <c r="B15" s="17">
        <v>21780.763210474499</v>
      </c>
      <c r="C15" s="17">
        <v>42945.281037116903</v>
      </c>
      <c r="D15" s="17">
        <v>0</v>
      </c>
      <c r="E15" s="17">
        <v>1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>
      <c r="A16" s="17">
        <v>2017</v>
      </c>
      <c r="B16" s="17">
        <v>22511.920513599998</v>
      </c>
      <c r="C16" s="17">
        <v>42871.144250487298</v>
      </c>
      <c r="D16" s="17">
        <v>0</v>
      </c>
      <c r="E16" s="17">
        <v>1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ht="16.5">
      <c r="A19" s="165" t="s">
        <v>34</v>
      </c>
      <c r="B19" s="165" t="s">
        <v>31</v>
      </c>
      <c r="C19" s="165" t="s">
        <v>33</v>
      </c>
      <c r="F19" s="150" t="s">
        <v>110</v>
      </c>
      <c r="G19" s="147">
        <f>A21/A22</f>
        <v>-6.5622811931284568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>
      <c r="A20" s="166" t="s">
        <v>45</v>
      </c>
      <c r="B20" s="166" t="s">
        <v>35</v>
      </c>
      <c r="C20" s="166" t="s">
        <v>36</v>
      </c>
      <c r="D20" s="150" t="s">
        <v>37</v>
      </c>
      <c r="F20" s="150" t="s">
        <v>57</v>
      </c>
      <c r="G20" s="147">
        <v>0.05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ht="16.5">
      <c r="A21" s="147">
        <v>-2009.1504072576204</v>
      </c>
      <c r="B21" s="147">
        <v>-3606.3102911452356</v>
      </c>
      <c r="C21" s="147">
        <v>0.83968400739984861</v>
      </c>
      <c r="D21" s="147">
        <v>-12106.558545496844</v>
      </c>
      <c r="F21" s="150" t="s">
        <v>107</v>
      </c>
      <c r="G21" s="147">
        <f>_xlfn.T.INV.2T(G20,B24)</f>
        <v>2.2009851600916384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ht="16.5">
      <c r="A22" s="147">
        <v>306.16646073646712</v>
      </c>
      <c r="B22" s="147">
        <v>437.94240852767524</v>
      </c>
      <c r="C22" s="147">
        <v>2.3018906433872478E-2</v>
      </c>
      <c r="D22" s="147">
        <v>851.71672124659347</v>
      </c>
      <c r="F22" s="150" t="s">
        <v>111</v>
      </c>
      <c r="G22" s="147">
        <f>ABS(G19)</f>
        <v>6.5622811931284568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>
      <c r="A23" s="147">
        <v>0.99279877126980542</v>
      </c>
      <c r="B23" s="147">
        <v>406.51906502949629</v>
      </c>
      <c r="C23" s="147" t="e">
        <v>#N/A</v>
      </c>
      <c r="D23" s="147" t="e">
        <v>#N/A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>
      <c r="A24" s="147">
        <v>505.50569877875176</v>
      </c>
      <c r="B24" s="147">
        <v>11</v>
      </c>
      <c r="C24" s="147" t="e">
        <v>#N/A</v>
      </c>
      <c r="D24" s="147" t="e">
        <v>#N/A</v>
      </c>
    </row>
    <row r="25" spans="1:34">
      <c r="A25" s="147">
        <v>250616203.52958608</v>
      </c>
      <c r="B25" s="147">
        <v>1817835.2525570143</v>
      </c>
      <c r="C25" s="147" t="e">
        <v>#N/A</v>
      </c>
      <c r="D25" s="147" t="e">
        <v>#N/A</v>
      </c>
    </row>
  </sheetData>
  <mergeCells count="2">
    <mergeCell ref="I6:J6"/>
    <mergeCell ref="I7:J7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D36D501186EFB44A33BB31B80CE729A" ma:contentTypeVersion="8" ma:contentTypeDescription="Создание документа." ma:contentTypeScope="" ma:versionID="bf15c57cb53aaf754c1b341db89f523f">
  <xsd:schema xmlns:xsd="http://www.w3.org/2001/XMLSchema" xmlns:xs="http://www.w3.org/2001/XMLSchema" xmlns:p="http://schemas.microsoft.com/office/2006/metadata/properties" xmlns:ns3="5bf306b6-ba4f-41d5-8fbe-af60ed08a2df" targetNamespace="http://schemas.microsoft.com/office/2006/metadata/properties" ma:root="true" ma:fieldsID="e10034f970f12c74373ae6e66cf3fbf9" ns3:_="">
    <xsd:import namespace="5bf306b6-ba4f-41d5-8fbe-af60ed08a2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306b6-ba4f-41d5-8fbe-af60ed08a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60C8A-12A0-4472-85A7-1EEB077A9674}">
  <ds:schemaRefs>
    <ds:schemaRef ds:uri="5bf306b6-ba4f-41d5-8fbe-af60ed08a2df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9D18F72-F3A9-4447-9F64-46A983D02B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3D54D5-0E1F-4C78-BBD1-4C90B48BA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f306b6-ba4f-41d5-8fbe-af60ed08a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 сем3+4</vt:lpstr>
      <vt:lpstr>графики сем3 </vt:lpstr>
      <vt:lpstr>line() сем5</vt:lpstr>
      <vt:lpstr>сем 8</vt:lpstr>
      <vt:lpstr>сем 10</vt:lpstr>
      <vt:lpstr>сем12</vt:lpstr>
      <vt:lpstr>дз11</vt:lpstr>
      <vt:lpstr>сем13+дз12</vt:lpstr>
      <vt:lpstr>сем14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Маслова Анна Олеговна</cp:lastModifiedBy>
  <cp:lastPrinted>2019-12-01T14:33:47Z</cp:lastPrinted>
  <dcterms:created xsi:type="dcterms:W3CDTF">2019-09-16T06:05:26Z</dcterms:created>
  <dcterms:modified xsi:type="dcterms:W3CDTF">2019-12-09T09:22:51Z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0x010100CD36D501186EFB44A33BB31B80CE729A</vt:lpwstr>
  </property>
</Properties>
</file>