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ha\OneDrive\Рабочий стол\учёба\Домашка по эконометрике\"/>
    </mc:Choice>
  </mc:AlternateContent>
  <xr:revisionPtr revIDLastSave="0" documentId="13_ncr:1_{C884B52E-3111-4870-B1E7-0F73D16EA0DD}" xr6:coauthVersionLast="45" xr6:coauthVersionMax="45" xr10:uidLastSave="{00000000-0000-0000-0000-000000000000}"/>
  <bookViews>
    <workbookView xWindow="-108" yWindow="540" windowWidth="23256" windowHeight="12528" activeTab="3" xr2:uid="{00000000-000D-0000-FFFF-FFFF00000000}"/>
  </bookViews>
  <sheets>
    <sheet name="Данные" sheetId="1" r:id="rId1"/>
    <sheet name="Кризис и санкции" sheetId="2" r:id="rId2"/>
    <sheet name="ДЗ-12" sheetId="9" r:id="rId3"/>
    <sheet name="Сем-15" sheetId="10" r:id="rId4"/>
    <sheet name="ДЗ-11" sheetId="7" r:id="rId5"/>
    <sheet name="ДЗ-15" sheetId="8" r:id="rId6"/>
    <sheet name="Лист1" sheetId="5" r:id="rId7"/>
    <sheet name="ДЗ-9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0" l="1"/>
  <c r="L6" i="10"/>
  <c r="L7" i="10"/>
  <c r="L8" i="10"/>
  <c r="L9" i="10"/>
  <c r="L10" i="10"/>
  <c r="L11" i="10"/>
  <c r="L12" i="10"/>
  <c r="L13" i="10"/>
  <c r="L14" i="10"/>
  <c r="L15" i="10"/>
  <c r="L4" i="10"/>
  <c r="M18" i="8" l="1"/>
  <c r="H18" i="8" a="1"/>
  <c r="H18" i="8" s="1"/>
  <c r="I4" i="8"/>
  <c r="I5" i="8"/>
  <c r="I6" i="8"/>
  <c r="I7" i="8"/>
  <c r="I8" i="8"/>
  <c r="I9" i="8"/>
  <c r="I10" i="8"/>
  <c r="I11" i="8"/>
  <c r="I12" i="8"/>
  <c r="I13" i="8"/>
  <c r="I14" i="8"/>
  <c r="I15" i="8"/>
  <c r="K4" i="8"/>
  <c r="K5" i="8"/>
  <c r="K6" i="8"/>
  <c r="K7" i="8"/>
  <c r="K8" i="8"/>
  <c r="K9" i="8"/>
  <c r="K10" i="8"/>
  <c r="K11" i="8"/>
  <c r="K12" i="8"/>
  <c r="K13" i="8"/>
  <c r="K14" i="8"/>
  <c r="K15" i="8"/>
  <c r="J5" i="8"/>
  <c r="J6" i="8"/>
  <c r="J7" i="8"/>
  <c r="J8" i="8"/>
  <c r="J9" i="8"/>
  <c r="J10" i="8"/>
  <c r="J11" i="8"/>
  <c r="J12" i="8"/>
  <c r="J13" i="8"/>
  <c r="J14" i="8"/>
  <c r="J15" i="8"/>
  <c r="J4" i="8"/>
  <c r="J22" i="8" l="1"/>
  <c r="H22" i="8"/>
  <c r="H19" i="8"/>
  <c r="I21" i="8"/>
  <c r="H21" i="8"/>
  <c r="I18" i="8"/>
  <c r="I20" i="8"/>
  <c r="H20" i="8"/>
  <c r="I22" i="8"/>
  <c r="J19" i="8"/>
  <c r="I19" i="8"/>
  <c r="J21" i="8"/>
  <c r="J18" i="8"/>
  <c r="J20" i="8"/>
  <c r="K5" i="10"/>
  <c r="K6" i="10"/>
  <c r="K7" i="10"/>
  <c r="K8" i="10"/>
  <c r="K9" i="10"/>
  <c r="K10" i="10"/>
  <c r="K11" i="10"/>
  <c r="K12" i="10"/>
  <c r="K13" i="10"/>
  <c r="J18" i="10" s="1" a="1"/>
  <c r="K19" i="10" s="1"/>
  <c r="K14" i="10"/>
  <c r="K15" i="10"/>
  <c r="K4" i="10"/>
  <c r="J5" i="10"/>
  <c r="J6" i="10"/>
  <c r="J7" i="10"/>
  <c r="J8" i="10"/>
  <c r="J9" i="10"/>
  <c r="J10" i="10"/>
  <c r="J11" i="10"/>
  <c r="J12" i="10"/>
  <c r="J13" i="10"/>
  <c r="J14" i="10"/>
  <c r="J15" i="10"/>
  <c r="J4" i="10"/>
  <c r="K22" i="10" l="1"/>
  <c r="K18" i="10"/>
  <c r="J18" i="10"/>
  <c r="J21" i="10"/>
  <c r="K20" i="10"/>
  <c r="J19" i="10"/>
  <c r="J22" i="10"/>
  <c r="K21" i="10"/>
  <c r="J20" i="10"/>
  <c r="AJ23" i="9"/>
  <c r="AJ22" i="9"/>
  <c r="AJ21" i="9"/>
  <c r="AD21" i="9" a="1"/>
  <c r="AF25" i="9" s="1"/>
  <c r="X18" i="9"/>
  <c r="X17" i="9"/>
  <c r="X16" i="9"/>
  <c r="Q20" i="9" a="1"/>
  <c r="R24" i="9" s="1"/>
  <c r="M14" i="9"/>
  <c r="M13" i="9"/>
  <c r="M12" i="9"/>
  <c r="K22" i="9"/>
  <c r="E21" i="9" a="1"/>
  <c r="H25" i="9" s="1"/>
  <c r="AF24" i="9" l="1"/>
  <c r="AE23" i="9"/>
  <c r="AD21" i="9"/>
  <c r="AF23" i="9"/>
  <c r="AE21" i="9"/>
  <c r="AD24" i="9"/>
  <c r="AF21" i="9"/>
  <c r="AE29" i="9" s="1"/>
  <c r="AD22" i="9"/>
  <c r="AE22" i="9"/>
  <c r="AF22" i="9"/>
  <c r="AE25" i="9"/>
  <c r="AE24" i="9"/>
  <c r="AD25" i="9"/>
  <c r="AD23" i="9"/>
  <c r="S21" i="9"/>
  <c r="S20" i="9"/>
  <c r="S22" i="9"/>
  <c r="S24" i="9"/>
  <c r="T20" i="9"/>
  <c r="T22" i="9"/>
  <c r="T24" i="9"/>
  <c r="Q21" i="9"/>
  <c r="Q23" i="9"/>
  <c r="R21" i="9"/>
  <c r="R23" i="9"/>
  <c r="S23" i="9"/>
  <c r="T21" i="9"/>
  <c r="T23" i="9"/>
  <c r="Q20" i="9"/>
  <c r="Q22" i="9"/>
  <c r="Q24" i="9"/>
  <c r="R20" i="9"/>
  <c r="R22" i="9"/>
  <c r="H22" i="9"/>
  <c r="H24" i="9"/>
  <c r="G24" i="9"/>
  <c r="E21" i="9"/>
  <c r="E23" i="9"/>
  <c r="E25" i="9"/>
  <c r="G22" i="9"/>
  <c r="F23" i="9"/>
  <c r="G21" i="9"/>
  <c r="G23" i="9"/>
  <c r="G25" i="9"/>
  <c r="E22" i="9"/>
  <c r="E24" i="9"/>
  <c r="F22" i="9"/>
  <c r="F24" i="9"/>
  <c r="F21" i="9"/>
  <c r="F25" i="9"/>
  <c r="H21" i="9"/>
  <c r="H23" i="9"/>
  <c r="X11" i="9" l="1"/>
  <c r="I4" i="9"/>
  <c r="I15" i="9"/>
  <c r="I7" i="9"/>
  <c r="I14" i="9"/>
  <c r="I6" i="9"/>
  <c r="I17" i="9"/>
  <c r="I13" i="9"/>
  <c r="I9" i="9"/>
  <c r="J9" i="9" s="1"/>
  <c r="I5" i="9"/>
  <c r="I11" i="9"/>
  <c r="I16" i="9"/>
  <c r="J16" i="9" s="1"/>
  <c r="I12" i="9"/>
  <c r="J12" i="9" s="1"/>
  <c r="I8" i="9"/>
  <c r="J8" i="9" s="1"/>
  <c r="J28" i="9"/>
  <c r="I18" i="9"/>
  <c r="J18" i="9" s="1"/>
  <c r="I10" i="9"/>
  <c r="J10" i="9" s="1"/>
  <c r="J13" i="9" l="1"/>
  <c r="J17" i="9"/>
  <c r="J6" i="9"/>
  <c r="J14" i="9"/>
  <c r="J5" i="9"/>
  <c r="J7" i="9"/>
  <c r="J11" i="9"/>
  <c r="J15" i="9"/>
  <c r="J19" i="9" l="1"/>
  <c r="K21" i="9" s="1"/>
  <c r="T63" i="7" l="1"/>
  <c r="O65" i="7"/>
  <c r="W27" i="7"/>
  <c r="J5" i="2" l="1"/>
  <c r="I4" i="2"/>
  <c r="F8" i="1" l="1"/>
  <c r="E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M57" i="7" l="1" a="1"/>
  <c r="M57" i="7" s="1"/>
  <c r="O21" i="7" a="1"/>
  <c r="P21" i="7" s="1"/>
  <c r="A50" i="7" a="1"/>
  <c r="C53" i="7" s="1"/>
  <c r="W21" i="2" a="1"/>
  <c r="X21" i="2" s="1"/>
  <c r="R49" i="2"/>
  <c r="J28" i="2"/>
  <c r="B18" i="7" a="1"/>
  <c r="D22" i="7" s="1"/>
  <c r="N59" i="7" l="1"/>
  <c r="O57" i="7"/>
  <c r="N57" i="7"/>
  <c r="S57" i="7" s="1" a="1"/>
  <c r="M59" i="7"/>
  <c r="O58" i="7"/>
  <c r="N58" i="7"/>
  <c r="M58" i="7"/>
  <c r="O59" i="7"/>
  <c r="O23" i="7"/>
  <c r="O21" i="7"/>
  <c r="R24" i="7"/>
  <c r="R22" i="7"/>
  <c r="Q22" i="7"/>
  <c r="P24" i="7"/>
  <c r="R21" i="7"/>
  <c r="Q23" i="7"/>
  <c r="Q21" i="7"/>
  <c r="Q24" i="7"/>
  <c r="P22" i="7"/>
  <c r="O24" i="7"/>
  <c r="O22" i="7"/>
  <c r="R23" i="7"/>
  <c r="P23" i="7"/>
  <c r="A54" i="7"/>
  <c r="B54" i="7"/>
  <c r="C52" i="7"/>
  <c r="B51" i="7"/>
  <c r="C51" i="7"/>
  <c r="A52" i="7"/>
  <c r="C54" i="7"/>
  <c r="B52" i="7"/>
  <c r="A50" i="7"/>
  <c r="B50" i="7"/>
  <c r="A53" i="7"/>
  <c r="C50" i="7"/>
  <c r="B58" i="7" s="1"/>
  <c r="B53" i="7"/>
  <c r="A51" i="7"/>
  <c r="X23" i="2"/>
  <c r="W22" i="2"/>
  <c r="X24" i="2"/>
  <c r="Y21" i="2"/>
  <c r="Y23" i="2"/>
  <c r="W21" i="2"/>
  <c r="Y25" i="2"/>
  <c r="W23" i="2"/>
  <c r="X25" i="2"/>
  <c r="Y22" i="2"/>
  <c r="W25" i="2"/>
  <c r="X22" i="2"/>
  <c r="Y24" i="2"/>
  <c r="W24" i="2"/>
  <c r="E20" i="7"/>
  <c r="E18" i="7"/>
  <c r="D19" i="7"/>
  <c r="E22" i="7"/>
  <c r="B19" i="7"/>
  <c r="B21" i="7"/>
  <c r="C19" i="7"/>
  <c r="C21" i="7"/>
  <c r="D21" i="7"/>
  <c r="E19" i="7"/>
  <c r="E21" i="7"/>
  <c r="B18" i="7"/>
  <c r="B20" i="7"/>
  <c r="B22" i="7"/>
  <c r="C18" i="7"/>
  <c r="C20" i="7"/>
  <c r="C22" i="7"/>
  <c r="D18" i="7"/>
  <c r="D20" i="7"/>
  <c r="U46" i="2"/>
  <c r="U44" i="2" a="1"/>
  <c r="W44" i="2" s="1"/>
  <c r="W38" i="2" a="1"/>
  <c r="W38" i="2" s="1"/>
  <c r="Q38" i="2" a="1"/>
  <c r="Q38" i="2" s="1"/>
  <c r="U57" i="7" l="1"/>
  <c r="S57" i="7"/>
  <c r="U58" i="7"/>
  <c r="T59" i="7"/>
  <c r="S59" i="7"/>
  <c r="T58" i="7"/>
  <c r="T57" i="7"/>
  <c r="U59" i="7"/>
  <c r="S58" i="7"/>
  <c r="U21" i="7" a="1"/>
  <c r="U21" i="7" s="1"/>
  <c r="I9" i="7"/>
  <c r="V44" i="2"/>
  <c r="U44" i="2"/>
  <c r="X44" i="2"/>
  <c r="Z41" i="2"/>
  <c r="Z39" i="2"/>
  <c r="Y41" i="2"/>
  <c r="X41" i="2"/>
  <c r="W39" i="2"/>
  <c r="Z40" i="2"/>
  <c r="Y38" i="2"/>
  <c r="X40" i="2"/>
  <c r="X38" i="2"/>
  <c r="Y39" i="2"/>
  <c r="X39" i="2"/>
  <c r="W41" i="2"/>
  <c r="Z38" i="2"/>
  <c r="Y40" i="2"/>
  <c r="W40" i="2"/>
  <c r="R39" i="2"/>
  <c r="T41" i="2"/>
  <c r="T39" i="2"/>
  <c r="S41" i="2"/>
  <c r="S39" i="2"/>
  <c r="R41" i="2"/>
  <c r="Q41" i="2"/>
  <c r="Q39" i="2"/>
  <c r="S38" i="2"/>
  <c r="T40" i="2"/>
  <c r="S40" i="2"/>
  <c r="R40" i="2"/>
  <c r="R38" i="2"/>
  <c r="T38" i="2"/>
  <c r="Q40" i="2"/>
  <c r="X28" i="5"/>
  <c r="X26" i="5"/>
  <c r="X25" i="5"/>
  <c r="F25" i="5"/>
  <c r="F28" i="5"/>
  <c r="N28" i="5"/>
  <c r="S27" i="5" a="1"/>
  <c r="S27" i="5" s="1"/>
  <c r="S19" i="5" a="1"/>
  <c r="S19" i="5" s="1"/>
  <c r="X22" i="7" l="1"/>
  <c r="V22" i="7"/>
  <c r="X23" i="7"/>
  <c r="W21" i="7"/>
  <c r="W22" i="7"/>
  <c r="U22" i="7"/>
  <c r="V21" i="7"/>
  <c r="X24" i="7"/>
  <c r="W24" i="7"/>
  <c r="U23" i="7"/>
  <c r="U24" i="7"/>
  <c r="V23" i="7"/>
  <c r="X21" i="7"/>
  <c r="O63" i="7" a="1"/>
  <c r="V24" i="7"/>
  <c r="W23" i="7"/>
  <c r="T30" i="5"/>
  <c r="S30" i="5"/>
  <c r="S29" i="5"/>
  <c r="S28" i="5"/>
  <c r="T31" i="5"/>
  <c r="T27" i="5"/>
  <c r="T29" i="5"/>
  <c r="T28" i="5"/>
  <c r="S31" i="5"/>
  <c r="T21" i="5"/>
  <c r="S22" i="5"/>
  <c r="S21" i="5"/>
  <c r="T20" i="5"/>
  <c r="S20" i="5"/>
  <c r="T22" i="5"/>
  <c r="T23" i="5"/>
  <c r="T19" i="5"/>
  <c r="S23" i="5"/>
  <c r="AB22" i="2"/>
  <c r="I22" i="6"/>
  <c r="Q28" i="7" l="1" a="1"/>
  <c r="S28" i="7" s="1"/>
  <c r="Q63" i="7"/>
  <c r="P63" i="7"/>
  <c r="O63" i="7"/>
  <c r="K22" i="2"/>
  <c r="Q28" i="7" l="1"/>
  <c r="R28" i="7"/>
  <c r="T28" i="7"/>
  <c r="G4" i="6"/>
  <c r="G5" i="6"/>
  <c r="H6" i="6" s="1"/>
  <c r="G6" i="6"/>
  <c r="G7" i="6"/>
  <c r="G8" i="6"/>
  <c r="H8" i="6" s="1"/>
  <c r="G9" i="6"/>
  <c r="H10" i="6" s="1"/>
  <c r="G10" i="6"/>
  <c r="G11" i="6"/>
  <c r="G12" i="6"/>
  <c r="H12" i="6" s="1"/>
  <c r="G13" i="6"/>
  <c r="H14" i="6" s="1"/>
  <c r="G14" i="6"/>
  <c r="G15" i="6"/>
  <c r="G16" i="6"/>
  <c r="H16" i="6" s="1"/>
  <c r="G3" i="6"/>
  <c r="H7" i="6"/>
  <c r="C20" i="6" a="1"/>
  <c r="C20" i="6" s="1"/>
  <c r="H15" i="6"/>
  <c r="H11" i="6"/>
  <c r="Q31" i="7" l="1"/>
  <c r="H13" i="6"/>
  <c r="H5" i="6"/>
  <c r="H9" i="6"/>
  <c r="H4" i="6"/>
  <c r="E24" i="6"/>
  <c r="F23" i="6"/>
  <c r="F21" i="6"/>
  <c r="E21" i="6"/>
  <c r="D23" i="6"/>
  <c r="C23" i="6"/>
  <c r="F24" i="6"/>
  <c r="F20" i="6"/>
  <c r="E20" i="6"/>
  <c r="D24" i="6"/>
  <c r="D22" i="6"/>
  <c r="D20" i="6"/>
  <c r="E23" i="6"/>
  <c r="D21" i="6"/>
  <c r="C21" i="6"/>
  <c r="F22" i="6"/>
  <c r="E22" i="6"/>
  <c r="C24" i="6"/>
  <c r="C22" i="6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2" i="5"/>
  <c r="J27" i="5" a="1"/>
  <c r="J27" i="5" s="1"/>
  <c r="J19" i="5" a="1"/>
  <c r="J19" i="5" s="1"/>
  <c r="M6" i="5"/>
  <c r="M2" i="5"/>
  <c r="M3" i="5"/>
  <c r="M4" i="5"/>
  <c r="M5" i="5"/>
  <c r="M7" i="5"/>
  <c r="M8" i="5"/>
  <c r="M9" i="5"/>
  <c r="M10" i="5"/>
  <c r="M11" i="5"/>
  <c r="M12" i="5"/>
  <c r="M13" i="5"/>
  <c r="M14" i="5"/>
  <c r="M15" i="5"/>
  <c r="M16" i="5"/>
  <c r="H17" i="6" l="1"/>
  <c r="I21" i="6"/>
  <c r="K29" i="5"/>
  <c r="J29" i="5"/>
  <c r="J30" i="5"/>
  <c r="K28" i="5"/>
  <c r="J28" i="5"/>
  <c r="K31" i="5"/>
  <c r="K27" i="5"/>
  <c r="K30" i="5"/>
  <c r="J31" i="5"/>
  <c r="J22" i="5"/>
  <c r="J21" i="5"/>
  <c r="J20" i="5"/>
  <c r="K23" i="5"/>
  <c r="K19" i="5"/>
  <c r="K22" i="5"/>
  <c r="K21" i="5"/>
  <c r="K20" i="5"/>
  <c r="J23" i="5"/>
  <c r="N25" i="5" l="1"/>
  <c r="N26" i="5" s="1"/>
  <c r="O21" i="2" a="1"/>
  <c r="O21" i="2" s="1"/>
  <c r="AF21" i="1"/>
  <c r="R24" i="2" l="1"/>
  <c r="R22" i="2"/>
  <c r="Q24" i="2"/>
  <c r="Q22" i="2"/>
  <c r="P24" i="2"/>
  <c r="P22" i="2"/>
  <c r="R25" i="2"/>
  <c r="O24" i="2"/>
  <c r="O22" i="2"/>
  <c r="R23" i="2"/>
  <c r="R21" i="2"/>
  <c r="Q25" i="2"/>
  <c r="Q23" i="2"/>
  <c r="Q21" i="2"/>
  <c r="P25" i="2"/>
  <c r="P23" i="2"/>
  <c r="P21" i="2"/>
  <c r="O25" i="2"/>
  <c r="O23" i="2"/>
  <c r="B27" i="5" a="1"/>
  <c r="C27" i="5" s="1"/>
  <c r="B19" i="5" a="1"/>
  <c r="B19" i="5" s="1"/>
  <c r="E3" i="5"/>
  <c r="E4" i="5"/>
  <c r="E5" i="5"/>
  <c r="E6" i="5"/>
  <c r="E8" i="5"/>
  <c r="E10" i="5"/>
  <c r="E7" i="5"/>
  <c r="E9" i="5"/>
  <c r="E11" i="5"/>
  <c r="E14" i="5"/>
  <c r="E15" i="5"/>
  <c r="E16" i="5"/>
  <c r="E13" i="5"/>
  <c r="E12" i="5"/>
  <c r="E2" i="5"/>
  <c r="B27" i="5" l="1"/>
  <c r="B30" i="5"/>
  <c r="C30" i="5"/>
  <c r="C29" i="5"/>
  <c r="B29" i="5"/>
  <c r="C28" i="5"/>
  <c r="B31" i="5"/>
  <c r="B28" i="5"/>
  <c r="C31" i="5"/>
  <c r="B22" i="5"/>
  <c r="C22" i="5"/>
  <c r="B21" i="5"/>
  <c r="C20" i="5"/>
  <c r="B20" i="5"/>
  <c r="C19" i="5"/>
  <c r="C21" i="5"/>
  <c r="C23" i="5"/>
  <c r="F26" i="5" s="1"/>
  <c r="B23" i="5"/>
  <c r="E21" i="2" l="1" a="1"/>
  <c r="G21" i="2" s="1"/>
  <c r="V22" i="1"/>
  <c r="H25" i="2" l="1"/>
  <c r="H23" i="2"/>
  <c r="H21" i="2"/>
  <c r="G25" i="2"/>
  <c r="G23" i="2"/>
  <c r="F25" i="2"/>
  <c r="F23" i="2"/>
  <c r="F21" i="2"/>
  <c r="E25" i="2"/>
  <c r="E23" i="2"/>
  <c r="E21" i="2"/>
  <c r="H24" i="2"/>
  <c r="H22" i="2"/>
  <c r="G22" i="2"/>
  <c r="F22" i="2"/>
  <c r="G24" i="2"/>
  <c r="F24" i="2"/>
  <c r="E24" i="2"/>
  <c r="E22" i="2"/>
  <c r="AB19" i="1"/>
  <c r="AB5" i="1"/>
  <c r="AB4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Z19" i="1"/>
  <c r="I12" i="2" l="1"/>
  <c r="I5" i="2"/>
  <c r="I13" i="2"/>
  <c r="J13" i="2" s="1"/>
  <c r="I10" i="2"/>
  <c r="J10" i="2" s="1"/>
  <c r="I11" i="2"/>
  <c r="J11" i="2" s="1"/>
  <c r="I6" i="2"/>
  <c r="J6" i="2" s="1"/>
  <c r="I14" i="2"/>
  <c r="J14" i="2" s="1"/>
  <c r="I9" i="2"/>
  <c r="I7" i="2"/>
  <c r="I15" i="2"/>
  <c r="I8" i="2"/>
  <c r="J8" i="2" s="1"/>
  <c r="I16" i="2"/>
  <c r="J16" i="2" s="1"/>
  <c r="I17" i="2"/>
  <c r="J17" i="2" s="1"/>
  <c r="I18" i="2"/>
  <c r="J18" i="2" s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4" i="1"/>
  <c r="AG19" i="1"/>
  <c r="AB21" i="1" s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4" i="1"/>
  <c r="AE19" i="1"/>
  <c r="AE18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4" i="1"/>
  <c r="J7" i="2" l="1"/>
  <c r="J19" i="2" s="1"/>
  <c r="K21" i="2" s="1"/>
  <c r="J12" i="2"/>
  <c r="J15" i="2"/>
  <c r="J9" i="2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E18" i="1"/>
</calcChain>
</file>

<file path=xl/sharedStrings.xml><?xml version="1.0" encoding="utf-8"?>
<sst xmlns="http://schemas.openxmlformats.org/spreadsheetml/2006/main" count="283" uniqueCount="127">
  <si>
    <t xml:space="preserve">Элементы использования валового внутреннего продукта </t>
  </si>
  <si>
    <t>(в ценах 2008 года, млрд руб.)</t>
  </si>
  <si>
    <t>расходы на конечное потребление</t>
  </si>
  <si>
    <t>некоммерческих организаций, обслуживающих домашние хозяйства</t>
  </si>
  <si>
    <t>валовое накопление основного капитала 1)</t>
  </si>
  <si>
    <t>9095,32)</t>
  </si>
  <si>
    <t>экспорт</t>
  </si>
  <si>
    <t>импорт</t>
  </si>
  <si>
    <t>Статистическое расхождение</t>
  </si>
  <si>
    <t>валовое накопление I_t</t>
  </si>
  <si>
    <t>государственного управления G_t</t>
  </si>
  <si>
    <t>Валовой внутренний продукт (Y)</t>
  </si>
  <si>
    <t>домашних хозяйств (C)</t>
  </si>
  <si>
    <t>Изменение ВВП (\triangle Y_{t-1})</t>
  </si>
  <si>
    <t>C_t + I_t + G_t</t>
  </si>
  <si>
    <t>t</t>
  </si>
  <si>
    <t>Gt</t>
  </si>
  <si>
    <t>Gt-1</t>
  </si>
  <si>
    <t xml:space="preserve">R = </t>
  </si>
  <si>
    <t>G_t*G_{t-1}</t>
  </si>
  <si>
    <t>S =</t>
  </si>
  <si>
    <t>wt</t>
  </si>
  <si>
    <t>AVG =</t>
  </si>
  <si>
    <t xml:space="preserve">Sum = </t>
  </si>
  <si>
    <t>Sigma=</t>
  </si>
  <si>
    <t>g=S/R=R-1*S=</t>
  </si>
  <si>
    <t>wt2</t>
  </si>
  <si>
    <t>Gt-12</t>
  </si>
  <si>
    <t>g=</t>
  </si>
  <si>
    <t>Ct</t>
  </si>
  <si>
    <t>Crt</t>
  </si>
  <si>
    <t>Sant</t>
  </si>
  <si>
    <t>Yt-1</t>
  </si>
  <si>
    <t>a3</t>
  </si>
  <si>
    <t>a2</t>
  </si>
  <si>
    <t>a1</t>
  </si>
  <si>
    <t>a0</t>
  </si>
  <si>
    <t>It</t>
  </si>
  <si>
    <t>triangleYt-1</t>
  </si>
  <si>
    <t>ДЗ</t>
  </si>
  <si>
    <t>b2</t>
  </si>
  <si>
    <t>b1</t>
  </si>
  <si>
    <t>b0</t>
  </si>
  <si>
    <t>g2</t>
  </si>
  <si>
    <t>g1</t>
  </si>
  <si>
    <t>b3</t>
  </si>
  <si>
    <t>z=|Yt-1|</t>
  </si>
  <si>
    <r>
      <t>ESS</t>
    </r>
    <r>
      <rPr>
        <vertAlign val="subscript"/>
        <sz val="14"/>
        <color theme="1"/>
        <rFont val="Calibri"/>
        <family val="2"/>
        <charset val="204"/>
        <scheme val="minor"/>
      </rPr>
      <t>1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</si>
  <si>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</si>
  <si>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ESS</t>
    </r>
    <r>
      <rPr>
        <vertAlign val="subscript"/>
        <sz val="14"/>
        <color theme="1"/>
        <rFont val="Calibri"/>
        <family val="2"/>
        <charset val="204"/>
        <scheme val="minor"/>
      </rPr>
      <t>2</t>
    </r>
  </si>
  <si>
    <t>GQ</t>
  </si>
  <si>
    <t>1/GQ</t>
  </si>
  <si>
    <t>a</t>
  </si>
  <si>
    <r>
      <t>F</t>
    </r>
    <r>
      <rPr>
        <b/>
        <vertAlign val="subscript"/>
        <sz val="11"/>
        <color theme="0"/>
        <rFont val="Calibri"/>
        <family val="2"/>
        <charset val="204"/>
        <scheme val="minor"/>
      </rPr>
      <t>крит</t>
    </r>
  </si>
  <si>
    <t>При справеливой гипотезы H0 не величина GQ, не велечина 1/GQ не превосходит Fкрит. В нашем случае это не выполняется и поэтому гипотезу отвергаем. Вывод в моделе гетеросхерастична и с ростом значений объясн. переменной увел и дисперсия.</t>
  </si>
  <si>
    <t>z = |triangleYt-1|</t>
  </si>
  <si>
    <t>Z = |Gt_1|</t>
  </si>
  <si>
    <t>g</t>
  </si>
  <si>
    <t>ut</t>
  </si>
  <si>
    <r>
      <t>(ut+1-ut)</t>
    </r>
    <r>
      <rPr>
        <vertAlign val="superscript"/>
        <sz val="11"/>
        <color rgb="FF006100"/>
        <rFont val="Calibri"/>
        <family val="2"/>
        <charset val="204"/>
        <scheme val="minor"/>
      </rPr>
      <t>2</t>
    </r>
  </si>
  <si>
    <t>Сумма:</t>
  </si>
  <si>
    <t>DW=</t>
  </si>
  <si>
    <t>vt</t>
  </si>
  <si>
    <r>
      <t>(v</t>
    </r>
    <r>
      <rPr>
        <vertAlign val="subscript"/>
        <sz val="11"/>
        <color rgb="FF006100"/>
        <rFont val="Calibri"/>
        <family val="2"/>
        <charset val="204"/>
        <scheme val="minor"/>
      </rPr>
      <t>t+1</t>
    </r>
    <r>
      <rPr>
        <sz val="11"/>
        <color rgb="FF006100"/>
        <rFont val="Calibri"/>
        <family val="2"/>
        <charset val="204"/>
        <scheme val="minor"/>
      </rPr>
      <t>-v</t>
    </r>
    <r>
      <rPr>
        <vertAlign val="subscript"/>
        <sz val="11"/>
        <color rgb="FF006100"/>
        <rFont val="Calibri"/>
        <family val="2"/>
        <charset val="204"/>
        <scheme val="minor"/>
      </rPr>
      <t>t</t>
    </r>
    <r>
      <rPr>
        <sz val="11"/>
        <color rgb="FF006100"/>
        <rFont val="Calibri"/>
        <family val="2"/>
        <charset val="204"/>
        <scheme val="minor"/>
      </rPr>
      <t>)</t>
    </r>
    <r>
      <rPr>
        <vertAlign val="superscript"/>
        <sz val="11"/>
        <color rgb="FF006100"/>
        <rFont val="Calibri"/>
        <family val="2"/>
        <charset val="204"/>
        <scheme val="minor"/>
      </rPr>
      <t>2</t>
    </r>
  </si>
  <si>
    <t>Сумма</t>
  </si>
  <si>
    <t>R2=</t>
  </si>
  <si>
    <t>F=</t>
  </si>
  <si>
    <t>Fкрит =</t>
  </si>
  <si>
    <r>
      <t>R</t>
    </r>
    <r>
      <rPr>
        <b/>
        <vertAlign val="superscript"/>
        <sz val="11"/>
        <color theme="0"/>
        <rFont val="Calibri"/>
        <family val="2"/>
        <charset val="204"/>
        <scheme val="minor"/>
      </rPr>
      <t>2</t>
    </r>
    <r>
      <rPr>
        <b/>
        <sz val="11"/>
        <color theme="0"/>
        <rFont val="Calibri"/>
        <family val="2"/>
        <charset val="204"/>
        <scheme val="minor"/>
      </rPr>
      <t>=</t>
    </r>
  </si>
  <si>
    <t>Fкрит=</t>
  </si>
  <si>
    <t>g3</t>
  </si>
  <si>
    <t>g0</t>
  </si>
  <si>
    <t>Cr2017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</si>
  <si>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=</t>
    </r>
  </si>
  <si>
    <r>
      <t>Y</t>
    </r>
    <r>
      <rPr>
        <vertAlign val="subscript"/>
        <sz val="11"/>
        <color rgb="FF006100"/>
        <rFont val="Calibri"/>
        <family val="2"/>
        <charset val="204"/>
        <scheme val="minor"/>
      </rPr>
      <t>2017</t>
    </r>
  </si>
  <si>
    <t>San2017</t>
  </si>
  <si>
    <r>
      <t>C</t>
    </r>
    <r>
      <rPr>
        <b/>
        <vertAlign val="superscript"/>
        <sz val="11"/>
        <color theme="0"/>
        <rFont val="Calibri"/>
        <family val="2"/>
        <charset val="204"/>
        <scheme val="minor"/>
      </rPr>
      <t>p</t>
    </r>
    <r>
      <rPr>
        <b/>
        <vertAlign val="subscript"/>
        <sz val="11"/>
        <color theme="0"/>
        <rFont val="Calibri"/>
        <family val="2"/>
        <charset val="204"/>
        <scheme val="minor"/>
      </rPr>
      <t>2018</t>
    </r>
    <r>
      <rPr>
        <b/>
        <sz val="11"/>
        <color theme="0"/>
        <rFont val="Calibri"/>
        <family val="2"/>
        <charset val="204"/>
        <scheme val="minor"/>
      </rPr>
      <t>=</t>
    </r>
  </si>
  <si>
    <r>
      <t>C</t>
    </r>
    <r>
      <rPr>
        <b/>
        <vertAlign val="subscript"/>
        <sz val="11"/>
        <color theme="0"/>
        <rFont val="Calibri"/>
        <family val="2"/>
        <charset val="204"/>
        <scheme val="minor"/>
      </rPr>
      <t>2018</t>
    </r>
    <r>
      <rPr>
        <b/>
        <sz val="11"/>
        <color theme="0"/>
        <rFont val="Calibri"/>
        <family val="2"/>
        <charset val="204"/>
        <scheme val="minor"/>
      </rPr>
      <t>=</t>
    </r>
  </si>
  <si>
    <t>X=</t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</si>
  <si>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=</t>
    </r>
  </si>
  <si>
    <t>Q=</t>
  </si>
  <si>
    <r>
      <t>q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=</t>
    </r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</si>
  <si>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vertAlign val="superscript"/>
        <sz val="11"/>
        <color theme="1"/>
        <rFont val="Calibri"/>
        <family val="2"/>
        <charset val="204"/>
        <scheme val="minor"/>
      </rPr>
      <t>T</t>
    </r>
    <r>
      <rPr>
        <b/>
        <sz val="11"/>
        <color theme="1"/>
        <rFont val="Calibri"/>
        <family val="2"/>
        <charset val="204"/>
        <scheme val="minor"/>
      </rPr>
      <t>*Q=</t>
    </r>
  </si>
  <si>
    <r>
      <t>X</t>
    </r>
    <r>
      <rPr>
        <b/>
        <vertAlign val="superscript"/>
        <sz val="11"/>
        <color theme="1"/>
        <rFont val="Calibri"/>
        <family val="2"/>
        <charset val="204"/>
        <scheme val="minor"/>
      </rPr>
      <t>T</t>
    </r>
    <r>
      <rPr>
        <b/>
        <sz val="11"/>
        <color theme="1"/>
        <rFont val="Calibri"/>
        <family val="2"/>
        <charset val="204"/>
        <scheme val="minor"/>
      </rPr>
      <t xml:space="preserve"> X</t>
    </r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</si>
  <si>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=</t>
    </r>
  </si>
  <si>
    <r>
      <t>SC</t>
    </r>
    <r>
      <rPr>
        <vertAlign val="superscript"/>
        <sz val="11"/>
        <color theme="1"/>
        <rFont val="Calibri"/>
        <family val="2"/>
        <charset val="204"/>
        <scheme val="minor"/>
      </rPr>
      <t>P</t>
    </r>
    <r>
      <rPr>
        <vertAlign val="subscript"/>
        <sz val="11"/>
        <color theme="1"/>
        <rFont val="Calibri"/>
        <family val="2"/>
        <charset val="204"/>
        <scheme val="minor"/>
      </rPr>
      <t>2018</t>
    </r>
  </si>
  <si>
    <r>
      <t>Cr</t>
    </r>
    <r>
      <rPr>
        <vertAlign val="subscript"/>
        <sz val="11"/>
        <color rgb="FF006100"/>
        <rFont val="Calibri"/>
        <family val="2"/>
        <charset val="204"/>
        <scheme val="minor"/>
      </rPr>
      <t>2017</t>
    </r>
  </si>
  <si>
    <r>
      <t>San</t>
    </r>
    <r>
      <rPr>
        <vertAlign val="subscript"/>
        <sz val="11"/>
        <color rgb="FF006100"/>
        <rFont val="Calibri"/>
        <family val="2"/>
        <charset val="204"/>
        <scheme val="minor"/>
      </rPr>
      <t>2017</t>
    </r>
  </si>
  <si>
    <r>
      <t>I</t>
    </r>
    <r>
      <rPr>
        <b/>
        <vertAlign val="superscript"/>
        <sz val="11"/>
        <color theme="0"/>
        <rFont val="Calibri"/>
        <family val="2"/>
        <charset val="204"/>
        <scheme val="minor"/>
      </rPr>
      <t>p</t>
    </r>
    <r>
      <rPr>
        <b/>
        <vertAlign val="subscript"/>
        <sz val="11"/>
        <color theme="0"/>
        <rFont val="Calibri"/>
        <family val="2"/>
        <charset val="204"/>
        <scheme val="minor"/>
      </rPr>
      <t>2018</t>
    </r>
    <r>
      <rPr>
        <b/>
        <sz val="11"/>
        <color theme="0"/>
        <rFont val="Calibri"/>
        <family val="2"/>
        <charset val="204"/>
        <scheme val="minor"/>
      </rPr>
      <t>=</t>
    </r>
  </si>
  <si>
    <r>
      <t>I</t>
    </r>
    <r>
      <rPr>
        <b/>
        <vertAlign val="subscript"/>
        <sz val="11"/>
        <color theme="0"/>
        <rFont val="Calibri"/>
        <family val="2"/>
        <charset val="204"/>
        <scheme val="minor"/>
      </rPr>
      <t>2018</t>
    </r>
    <r>
      <rPr>
        <b/>
        <sz val="11"/>
        <color theme="0"/>
        <rFont val="Calibri"/>
        <family val="2"/>
        <charset val="204"/>
        <scheme val="minor"/>
      </rPr>
      <t>=</t>
    </r>
  </si>
  <si>
    <t>Шаг №1</t>
  </si>
  <si>
    <t>X</t>
  </si>
  <si>
    <t>Шаг №2</t>
  </si>
  <si>
    <r>
      <t>X</t>
    </r>
    <r>
      <rPr>
        <vertAlign val="superscript"/>
        <sz val="11"/>
        <color rgb="FF006100"/>
        <rFont val="Calibri"/>
        <family val="2"/>
        <charset val="204"/>
        <scheme val="minor"/>
      </rPr>
      <t>T</t>
    </r>
  </si>
  <si>
    <r>
      <t>X</t>
    </r>
    <r>
      <rPr>
        <vertAlign val="superscript"/>
        <sz val="11"/>
        <color rgb="FF006100"/>
        <rFont val="Calibri"/>
        <family val="2"/>
        <charset val="204"/>
        <scheme val="minor"/>
      </rPr>
      <t>T</t>
    </r>
    <r>
      <rPr>
        <sz val="11"/>
        <color rgb="FF006100"/>
        <rFont val="Calibri"/>
        <family val="2"/>
        <charset val="204"/>
        <scheme val="minor"/>
      </rPr>
      <t>X</t>
    </r>
  </si>
  <si>
    <t>Шаг №3</t>
  </si>
  <si>
    <r>
      <t>Q = (X</t>
    </r>
    <r>
      <rPr>
        <vertAlign val="superscript"/>
        <sz val="11"/>
        <color rgb="FF006100"/>
        <rFont val="Calibri"/>
        <family val="2"/>
        <charset val="204"/>
        <scheme val="minor"/>
      </rPr>
      <t>T</t>
    </r>
    <r>
      <rPr>
        <sz val="11"/>
        <color rgb="FF006100"/>
        <rFont val="Calibri"/>
        <family val="2"/>
        <charset val="204"/>
        <scheme val="minor"/>
      </rPr>
      <t>X)</t>
    </r>
    <r>
      <rPr>
        <vertAlign val="superscript"/>
        <sz val="11"/>
        <color rgb="FF006100"/>
        <rFont val="Calibri"/>
        <family val="2"/>
        <charset val="204"/>
        <scheme val="minor"/>
      </rPr>
      <t>-1</t>
    </r>
  </si>
  <si>
    <t>Шаг №4</t>
  </si>
  <si>
    <r>
      <t>x</t>
    </r>
    <r>
      <rPr>
        <vertAlign val="subscript"/>
        <sz val="11"/>
        <color rgb="FF006100"/>
        <rFont val="Calibri"/>
        <family val="2"/>
        <charset val="204"/>
        <scheme val="minor"/>
      </rPr>
      <t>0</t>
    </r>
  </si>
  <si>
    <r>
      <t>x</t>
    </r>
    <r>
      <rPr>
        <vertAlign val="subscript"/>
        <sz val="11"/>
        <color rgb="FF006100"/>
        <rFont val="Calibri"/>
        <family val="2"/>
        <charset val="204"/>
        <scheme val="minor"/>
      </rPr>
      <t>0</t>
    </r>
    <r>
      <rPr>
        <vertAlign val="superscript"/>
        <sz val="11"/>
        <color rgb="FF006100"/>
        <rFont val="Calibri"/>
        <family val="2"/>
        <charset val="204"/>
        <scheme val="minor"/>
      </rPr>
      <t>T</t>
    </r>
    <r>
      <rPr>
        <sz val="11"/>
        <color rgb="FF006100"/>
        <rFont val="Calibri"/>
        <family val="2"/>
        <charset val="204"/>
        <scheme val="minor"/>
      </rPr>
      <t>*Q</t>
    </r>
  </si>
  <si>
    <r>
      <t>q</t>
    </r>
    <r>
      <rPr>
        <vertAlign val="subscript"/>
        <sz val="11"/>
        <color rgb="FF006100"/>
        <rFont val="Calibri"/>
        <family val="2"/>
        <charset val="204"/>
        <scheme val="minor"/>
      </rPr>
      <t>0</t>
    </r>
    <r>
      <rPr>
        <sz val="11"/>
        <color rgb="FF006100"/>
        <rFont val="Calibri"/>
        <family val="2"/>
        <charset val="204"/>
        <scheme val="minor"/>
      </rPr>
      <t xml:space="preserve"> = x</t>
    </r>
    <r>
      <rPr>
        <vertAlign val="subscript"/>
        <sz val="11"/>
        <color rgb="FF006100"/>
        <rFont val="Calibri"/>
        <family val="2"/>
        <charset val="204"/>
        <scheme val="minor"/>
      </rPr>
      <t>0</t>
    </r>
    <r>
      <rPr>
        <vertAlign val="superscript"/>
        <sz val="11"/>
        <color rgb="FF006100"/>
        <rFont val="Calibri"/>
        <family val="2"/>
        <charset val="204"/>
        <scheme val="minor"/>
      </rPr>
      <t>T</t>
    </r>
    <r>
      <rPr>
        <sz val="11"/>
        <color rgb="FF006100"/>
        <rFont val="Calibri"/>
        <family val="2"/>
        <charset val="204"/>
        <scheme val="minor"/>
      </rPr>
      <t>*Q*x</t>
    </r>
    <r>
      <rPr>
        <vertAlign val="subscript"/>
        <sz val="11"/>
        <color rgb="FF006100"/>
        <rFont val="Calibri"/>
        <family val="2"/>
        <charset val="204"/>
        <scheme val="minor"/>
      </rPr>
      <t>0</t>
    </r>
  </si>
  <si>
    <t>Шаг №5</t>
  </si>
  <si>
    <r>
      <t>SI</t>
    </r>
    <r>
      <rPr>
        <vertAlign val="superscript"/>
        <sz val="11"/>
        <color rgb="FF006100"/>
        <rFont val="Calibri"/>
        <family val="2"/>
        <charset val="204"/>
        <scheme val="minor"/>
      </rPr>
      <t>p</t>
    </r>
    <r>
      <rPr>
        <vertAlign val="subscript"/>
        <sz val="11"/>
        <color rgb="FF006100"/>
        <rFont val="Calibri"/>
        <family val="2"/>
        <charset val="204"/>
        <scheme val="minor"/>
      </rPr>
      <t>2018</t>
    </r>
  </si>
  <si>
    <r>
      <t>G</t>
    </r>
    <r>
      <rPr>
        <b/>
        <vertAlign val="subscript"/>
        <sz val="11"/>
        <color theme="0"/>
        <rFont val="Calibri"/>
        <family val="2"/>
        <charset val="204"/>
        <scheme val="minor"/>
      </rPr>
      <t>2018</t>
    </r>
    <r>
      <rPr>
        <b/>
        <sz val="11"/>
        <color theme="0"/>
        <rFont val="Calibri"/>
        <family val="2"/>
        <charset val="204"/>
        <scheme val="minor"/>
      </rPr>
      <t>=</t>
    </r>
  </si>
  <si>
    <r>
      <t>G</t>
    </r>
    <r>
      <rPr>
        <b/>
        <vertAlign val="superscript"/>
        <sz val="11"/>
        <color theme="0"/>
        <rFont val="Calibri"/>
        <family val="2"/>
        <charset val="204"/>
        <scheme val="minor"/>
      </rPr>
      <t>p</t>
    </r>
    <r>
      <rPr>
        <b/>
        <vertAlign val="subscript"/>
        <sz val="11"/>
        <color theme="0"/>
        <rFont val="Calibri"/>
        <family val="2"/>
        <charset val="204"/>
        <scheme val="minor"/>
      </rPr>
      <t>2018</t>
    </r>
    <r>
      <rPr>
        <b/>
        <sz val="11"/>
        <color theme="0"/>
        <rFont val="Calibri"/>
        <family val="2"/>
        <charset val="204"/>
        <scheme val="minor"/>
      </rPr>
      <t>=</t>
    </r>
  </si>
  <si>
    <r>
      <t>G</t>
    </r>
    <r>
      <rPr>
        <vertAlign val="subscript"/>
        <sz val="11"/>
        <color rgb="FF006100"/>
        <rFont val="Calibri"/>
        <family val="2"/>
        <charset val="204"/>
        <scheme val="minor"/>
      </rPr>
      <t>2017</t>
    </r>
  </si>
  <si>
    <r>
      <t>SG</t>
    </r>
    <r>
      <rPr>
        <vertAlign val="superscript"/>
        <sz val="11"/>
        <color rgb="FF006100"/>
        <rFont val="Calibri"/>
        <family val="2"/>
        <charset val="204"/>
        <scheme val="minor"/>
      </rPr>
      <t>p</t>
    </r>
    <r>
      <rPr>
        <vertAlign val="subscript"/>
        <sz val="11"/>
        <color rgb="FF006100"/>
        <rFont val="Calibri"/>
        <family val="2"/>
        <charset val="204"/>
        <scheme val="minor"/>
      </rPr>
      <t>2018</t>
    </r>
  </si>
  <si>
    <t>alpha</t>
  </si>
  <si>
    <r>
      <t>t</t>
    </r>
    <r>
      <rPr>
        <vertAlign val="subscript"/>
        <sz val="11"/>
        <color rgb="FF006100"/>
        <rFont val="Calibri"/>
        <family val="2"/>
        <charset val="204"/>
        <scheme val="minor"/>
      </rPr>
      <t>крит</t>
    </r>
  </si>
  <si>
    <r>
      <t>y</t>
    </r>
    <r>
      <rPr>
        <vertAlign val="subscript"/>
        <sz val="11"/>
        <color rgb="FF006100"/>
        <rFont val="Calibri"/>
        <family val="2"/>
        <charset val="204"/>
        <scheme val="minor"/>
      </rPr>
      <t>0</t>
    </r>
    <r>
      <rPr>
        <vertAlign val="superscript"/>
        <sz val="11"/>
        <color rgb="FF006100"/>
        <rFont val="Calibri"/>
        <family val="2"/>
        <charset val="204"/>
        <scheme val="minor"/>
      </rPr>
      <t>-</t>
    </r>
  </si>
  <si>
    <r>
      <t>y</t>
    </r>
    <r>
      <rPr>
        <vertAlign val="subscript"/>
        <sz val="11"/>
        <color rgb="FF006100"/>
        <rFont val="Calibri"/>
        <family val="2"/>
        <charset val="204"/>
        <scheme val="minor"/>
      </rPr>
      <t>0</t>
    </r>
    <r>
      <rPr>
        <vertAlign val="superscript"/>
        <sz val="11"/>
        <color rgb="FF006100"/>
        <rFont val="Calibri"/>
        <family val="2"/>
        <charset val="204"/>
        <scheme val="minor"/>
      </rPr>
      <t>+</t>
    </r>
  </si>
  <si>
    <t>SCP2018</t>
  </si>
  <si>
    <t>SIp2018</t>
  </si>
  <si>
    <t>SGp2018</t>
  </si>
  <si>
    <t xml:space="preserve"> Год</t>
  </si>
  <si>
    <t>Y(млрд. рублей)</t>
  </si>
  <si>
    <t>K (млрд. рублей)</t>
  </si>
  <si>
    <t>L(млн. чел.)</t>
  </si>
  <si>
    <t>LN(Y/L)</t>
  </si>
  <si>
    <t>LN(K/L)</t>
  </si>
  <si>
    <t>A=</t>
  </si>
  <si>
    <t>beta</t>
  </si>
  <si>
    <t>ln(A)</t>
  </si>
  <si>
    <t>LN(Y)</t>
  </si>
  <si>
    <t>LN(K)</t>
  </si>
  <si>
    <t>LN(L)</t>
  </si>
  <si>
    <t>u=LN(Y/L)-(a0+alpha*LN(K/L))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</si>
</sst>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vertAlign val="subscript"/>
      <sz val="14"/>
      <color theme="1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b/>
      <vertAlign val="subscript"/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vertAlign val="superscript"/>
      <sz val="11"/>
      <color rgb="FF006100"/>
      <name val="Calibri"/>
      <family val="2"/>
      <charset val="204"/>
      <scheme val="minor"/>
    </font>
    <font>
      <vertAlign val="subscript"/>
      <sz val="11"/>
      <color rgb="FF006100"/>
      <name val="Calibri"/>
      <family val="2"/>
      <charset val="204"/>
      <scheme val="minor"/>
    </font>
    <font>
      <b/>
      <vertAlign val="superscript"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rgb="FF3F3F3F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3" fillId="4" borderId="17" applyNumberFormat="0" applyAlignment="0" applyProtection="0"/>
    <xf numFmtId="0" fontId="4" fillId="4" borderId="16" applyNumberFormat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18" applyNumberFormat="0" applyAlignment="0" applyProtection="0"/>
  </cellStyleXfs>
  <cellXfs count="10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5" xfId="0" applyFont="1" applyBorder="1"/>
    <xf numFmtId="0" fontId="1" fillId="0" borderId="6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1" fillId="0" borderId="13" xfId="0" applyFont="1" applyBorder="1"/>
    <xf numFmtId="0" fontId="0" fillId="0" borderId="13" xfId="0" applyBorder="1"/>
    <xf numFmtId="0" fontId="0" fillId="0" borderId="14" xfId="0" applyBorder="1"/>
    <xf numFmtId="0" fontId="0" fillId="0" borderId="7" xfId="0" applyFill="1" applyBorder="1"/>
    <xf numFmtId="0" fontId="0" fillId="0" borderId="15" xfId="0" applyBorder="1"/>
    <xf numFmtId="0" fontId="0" fillId="0" borderId="7" xfId="0" applyBorder="1"/>
    <xf numFmtId="0" fontId="1" fillId="0" borderId="8" xfId="0" applyFont="1" applyBorder="1"/>
    <xf numFmtId="0" fontId="0" fillId="0" borderId="0" xfId="0" applyFill="1" applyBorder="1" applyAlignment="1">
      <alignment horizontal="center"/>
    </xf>
    <xf numFmtId="0" fontId="3" fillId="4" borderId="17" xfId="1" applyAlignment="1">
      <alignment horizontal="right"/>
    </xf>
    <xf numFmtId="0" fontId="0" fillId="3" borderId="13" xfId="0" applyFill="1" applyBorder="1"/>
    <xf numFmtId="0" fontId="1" fillId="0" borderId="10" xfId="0" applyFont="1" applyBorder="1"/>
    <xf numFmtId="0" fontId="0" fillId="3" borderId="14" xfId="0" applyFill="1" applyBorder="1"/>
    <xf numFmtId="0" fontId="2" fillId="5" borderId="1" xfId="3" applyBorder="1" applyAlignment="1">
      <alignment horizontal="center"/>
    </xf>
    <xf numFmtId="0" fontId="2" fillId="5" borderId="2" xfId="3" applyBorder="1" applyAlignment="1">
      <alignment horizontal="center"/>
    </xf>
    <xf numFmtId="0" fontId="2" fillId="5" borderId="12" xfId="3" applyBorder="1" applyAlignment="1">
      <alignment horizontal="center"/>
    </xf>
    <xf numFmtId="0" fontId="2" fillId="5" borderId="5" xfId="3" applyBorder="1" applyAlignment="1">
      <alignment horizontal="center"/>
    </xf>
    <xf numFmtId="0" fontId="5" fillId="6" borderId="5" xfId="4" applyBorder="1" applyAlignment="1">
      <alignment horizontal="right"/>
    </xf>
    <xf numFmtId="0" fontId="4" fillId="4" borderId="16" xfId="2"/>
    <xf numFmtId="0" fontId="4" fillId="4" borderId="16" xfId="2" applyAlignment="1">
      <alignment horizontal="center"/>
    </xf>
    <xf numFmtId="0" fontId="0" fillId="7" borderId="5" xfId="0" applyFill="1" applyBorder="1"/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8" borderId="5" xfId="5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8" borderId="5" xfId="5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7" fillId="9" borderId="0" xfId="6"/>
    <xf numFmtId="0" fontId="3" fillId="4" borderId="17" xfId="1"/>
    <xf numFmtId="0" fontId="3" fillId="4" borderId="20" xfId="1" applyBorder="1"/>
    <xf numFmtId="0" fontId="3" fillId="0" borderId="19" xfId="1" applyFill="1" applyBorder="1"/>
    <xf numFmtId="0" fontId="8" fillId="10" borderId="18" xfId="7"/>
    <xf numFmtId="0" fontId="0" fillId="0" borderId="0" xfId="0" applyAlignment="1">
      <alignment horizontal="center"/>
    </xf>
    <xf numFmtId="0" fontId="0" fillId="11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0" fillId="13" borderId="0" xfId="0" applyFill="1"/>
    <xf numFmtId="0" fontId="3" fillId="13" borderId="17" xfId="1" applyFill="1" applyAlignment="1">
      <alignment horizontal="center" vertical="center"/>
    </xf>
    <xf numFmtId="0" fontId="3" fillId="4" borderId="17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2" fillId="4" borderId="17" xfId="1" applyFont="1" applyAlignment="1">
      <alignment horizontal="center" vertical="center"/>
    </xf>
    <xf numFmtId="0" fontId="3" fillId="4" borderId="17" xfId="1" applyFont="1" applyAlignment="1">
      <alignment horizontal="center" vertical="center"/>
    </xf>
    <xf numFmtId="0" fontId="12" fillId="4" borderId="17" xfId="1" applyFont="1"/>
    <xf numFmtId="0" fontId="3" fillId="4" borderId="17" xfId="1" applyFont="1"/>
    <xf numFmtId="0" fontId="12" fillId="4" borderId="20" xfId="1" applyFont="1" applyBorder="1"/>
    <xf numFmtId="0" fontId="8" fillId="10" borderId="21" xfId="7" applyBorder="1" applyAlignment="1">
      <alignment horizontal="center"/>
    </xf>
    <xf numFmtId="0" fontId="0" fillId="0" borderId="0" xfId="0" applyAlignment="1"/>
    <xf numFmtId="0" fontId="0" fillId="11" borderId="5" xfId="0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2" fillId="4" borderId="17" xfId="1" applyFont="1" applyAlignment="1">
      <alignment horizontal="right"/>
    </xf>
    <xf numFmtId="0" fontId="0" fillId="14" borderId="5" xfId="0" applyFill="1" applyBorder="1"/>
    <xf numFmtId="0" fontId="8" fillId="10" borderId="18" xfId="7" applyAlignment="1">
      <alignment horizontal="right"/>
    </xf>
    <xf numFmtId="0" fontId="8" fillId="10" borderId="18" xfId="7" applyAlignment="1">
      <alignment horizontal="center" vertical="center"/>
    </xf>
    <xf numFmtId="0" fontId="6" fillId="8" borderId="10" xfId="5" applyBorder="1" applyAlignment="1">
      <alignment horizontal="center"/>
    </xf>
    <xf numFmtId="0" fontId="6" fillId="8" borderId="10" xfId="5" applyBorder="1"/>
    <xf numFmtId="0" fontId="0" fillId="15" borderId="0" xfId="0" applyFill="1" applyAlignment="1">
      <alignment horizontal="right"/>
    </xf>
    <xf numFmtId="0" fontId="18" fillId="15" borderId="0" xfId="0" applyFont="1" applyFill="1" applyAlignment="1">
      <alignment horizontal="right"/>
    </xf>
    <xf numFmtId="0" fontId="18" fillId="15" borderId="0" xfId="0" applyFont="1" applyFill="1"/>
    <xf numFmtId="0" fontId="6" fillId="8" borderId="0" xfId="5"/>
    <xf numFmtId="0" fontId="6" fillId="8" borderId="0" xfId="5" applyBorder="1"/>
    <xf numFmtId="0" fontId="3" fillId="4" borderId="5" xfId="1" applyBorder="1"/>
    <xf numFmtId="0" fontId="12" fillId="4" borderId="5" xfId="1" applyFont="1" applyBorder="1"/>
    <xf numFmtId="0" fontId="3" fillId="4" borderId="5" xfId="1" applyFont="1" applyBorder="1"/>
    <xf numFmtId="0" fontId="3" fillId="4" borderId="22" xfId="1" applyBorder="1"/>
    <xf numFmtId="0" fontId="8" fillId="10" borderId="23" xfId="7" applyBorder="1"/>
    <xf numFmtId="0" fontId="8" fillId="10" borderId="24" xfId="7" applyBorder="1"/>
    <xf numFmtId="0" fontId="8" fillId="10" borderId="25" xfId="7" applyBorder="1"/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28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27" xfId="0" applyFont="1" applyBorder="1" applyAlignment="1">
      <alignment vertical="center" wrapText="1"/>
    </xf>
    <xf numFmtId="0" fontId="24" fillId="0" borderId="29" xfId="0" applyNumberFormat="1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26" fillId="4" borderId="17" xfId="1" applyFont="1"/>
    <xf numFmtId="0" fontId="25" fillId="0" borderId="27" xfId="0" applyFont="1" applyBorder="1" applyAlignment="1">
      <alignment horizontal="center" vertical="center" wrapText="1"/>
    </xf>
    <xf numFmtId="0" fontId="3" fillId="4" borderId="17" xfId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8">
    <cellStyle name="60% — акцент1" xfId="3" builtinId="32"/>
    <cellStyle name="Акцент2" xfId="4" builtinId="33"/>
    <cellStyle name="Вывод" xfId="1" builtinId="21"/>
    <cellStyle name="Вычисление" xfId="2" builtinId="22"/>
    <cellStyle name="Контрольная ячейка" xfId="7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рассеивания "</a:t>
            </a:r>
            <a:r>
              <a:rPr lang="en-US" baseline="0"/>
              <a:t>C - </a:t>
            </a:r>
            <a:r>
              <a:rPr lang="ru-RU" baseline="0"/>
              <a:t>Лаговый ВВП - текущее потребление домохозяйств</a:t>
            </a:r>
            <a:endParaRPr lang="ru-RU"/>
          </a:p>
        </c:rich>
      </c:tx>
      <c:layout>
        <c:manualLayout>
          <c:xMode val="edge"/>
          <c:yMode val="edge"/>
          <c:x val="0.10893617021276597"/>
          <c:y val="2.80000058792663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Данные!$D$7:$S$7</c:f>
              <c:numCache>
                <c:formatCode>General</c:formatCode>
                <c:ptCount val="16"/>
                <c:pt idx="0">
                  <c:v>27312.3</c:v>
                </c:pt>
                <c:pt idx="1">
                  <c:v>29304.9</c:v>
                </c:pt>
                <c:pt idx="2">
                  <c:v>31407.8</c:v>
                </c:pt>
                <c:pt idx="3">
                  <c:v>33410.5</c:v>
                </c:pt>
                <c:pt idx="4">
                  <c:v>36134.6</c:v>
                </c:pt>
                <c:pt idx="5">
                  <c:v>39218.699999999997</c:v>
                </c:pt>
                <c:pt idx="6">
                  <c:v>41276.800000000003</c:v>
                </c:pt>
                <c:pt idx="7">
                  <c:v>38048.6</c:v>
                </c:pt>
                <c:pt idx="8">
                  <c:v>39762.199999999997</c:v>
                </c:pt>
                <c:pt idx="9">
                  <c:v>41457.800000000003</c:v>
                </c:pt>
                <c:pt idx="10">
                  <c:v>42973.5</c:v>
                </c:pt>
                <c:pt idx="11">
                  <c:v>43740.704111475097</c:v>
                </c:pt>
                <c:pt idx="12">
                  <c:v>44063.797454319298</c:v>
                </c:pt>
                <c:pt idx="13">
                  <c:v>42945.281037116903</c:v>
                </c:pt>
                <c:pt idx="14">
                  <c:v>42871.144250487298</c:v>
                </c:pt>
                <c:pt idx="15">
                  <c:v>43533.749989135002</c:v>
                </c:pt>
              </c:numCache>
            </c:numRef>
          </c:xVal>
          <c:yVal>
            <c:numRef>
              <c:f>Данные!$E$10:$T$10</c:f>
              <c:numCache>
                <c:formatCode>General</c:formatCode>
                <c:ptCount val="16"/>
                <c:pt idx="0">
                  <c:v>11159.8</c:v>
                </c:pt>
                <c:pt idx="1">
                  <c:v>12550.7</c:v>
                </c:pt>
                <c:pt idx="2">
                  <c:v>14087.4</c:v>
                </c:pt>
                <c:pt idx="3">
                  <c:v>15799.7</c:v>
                </c:pt>
                <c:pt idx="4">
                  <c:v>18060.8</c:v>
                </c:pt>
                <c:pt idx="5">
                  <c:v>19967</c:v>
                </c:pt>
                <c:pt idx="6">
                  <c:v>18946.599999999999</c:v>
                </c:pt>
                <c:pt idx="7">
                  <c:v>19993.8</c:v>
                </c:pt>
                <c:pt idx="8">
                  <c:v>21356.2</c:v>
                </c:pt>
                <c:pt idx="9">
                  <c:v>23053.8</c:v>
                </c:pt>
                <c:pt idx="10">
                  <c:v>24263.159764191099</c:v>
                </c:pt>
                <c:pt idx="11">
                  <c:v>24736.3708425324</c:v>
                </c:pt>
                <c:pt idx="12">
                  <c:v>22418.535331585401</c:v>
                </c:pt>
                <c:pt idx="13">
                  <c:v>21780.763210474499</c:v>
                </c:pt>
                <c:pt idx="14">
                  <c:v>22511.920513599998</c:v>
                </c:pt>
                <c:pt idx="15">
                  <c:v>23010.044974890901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D-403F-B942-BE69F35AF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849208"/>
        <c:axId val="346852728"/>
      </c:scatterChart>
      <c:valAx>
        <c:axId val="34684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852728"/>
        <c:crosses val="autoZero"/>
        <c:crossBetween val="midCat"/>
      </c:valAx>
      <c:valAx>
        <c:axId val="34685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84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89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рассеивания "</a:t>
            </a:r>
            <a:r>
              <a:rPr lang="en-US"/>
              <a:t>I</a:t>
            </a:r>
            <a:r>
              <a:rPr lang="en-US" baseline="0"/>
              <a:t> - </a:t>
            </a:r>
            <a:r>
              <a:rPr lang="ru-RU"/>
              <a:t>Текущий уровень инвестиций в экономику"</a:t>
            </a:r>
          </a:p>
        </c:rich>
      </c:tx>
      <c:layout>
        <c:manualLayout>
          <c:xMode val="edge"/>
          <c:yMode val="edge"/>
          <c:x val="0.1136596675415572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Диаграмма рассеивания "Текущий уровень инвестиций в экономику"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Данные!$D$8:$S$8</c:f>
              <c:numCache>
                <c:formatCode>General</c:formatCode>
                <c:ptCount val="16"/>
                <c:pt idx="1">
                  <c:v>1992.6000000000022</c:v>
                </c:pt>
                <c:pt idx="2">
                  <c:v>2102.8999999999978</c:v>
                </c:pt>
                <c:pt idx="3">
                  <c:v>2002.7000000000007</c:v>
                </c:pt>
                <c:pt idx="4">
                  <c:v>2724.0999999999985</c:v>
                </c:pt>
                <c:pt idx="5">
                  <c:v>3084.0999999999985</c:v>
                </c:pt>
                <c:pt idx="6">
                  <c:v>2058.1000000000058</c:v>
                </c:pt>
                <c:pt idx="7">
                  <c:v>-3228.2000000000044</c:v>
                </c:pt>
                <c:pt idx="8">
                  <c:v>1713.5999999999985</c:v>
                </c:pt>
                <c:pt idx="9">
                  <c:v>1695.6000000000058</c:v>
                </c:pt>
                <c:pt idx="10">
                  <c:v>1515.6999999999971</c:v>
                </c:pt>
                <c:pt idx="11">
                  <c:v>767.20411147509731</c:v>
                </c:pt>
                <c:pt idx="12">
                  <c:v>323.09334284420038</c:v>
                </c:pt>
                <c:pt idx="13">
                  <c:v>-1118.5164172023942</c:v>
                </c:pt>
                <c:pt idx="14">
                  <c:v>-74.136786629605922</c:v>
                </c:pt>
                <c:pt idx="15">
                  <c:v>662.60573864770413</c:v>
                </c:pt>
              </c:numCache>
            </c:numRef>
          </c:xVal>
          <c:yVal>
            <c:numRef>
              <c:f>Данные!$F$13:$T$13</c:f>
              <c:numCache>
                <c:formatCode>General</c:formatCode>
                <c:ptCount val="15"/>
                <c:pt idx="0">
                  <c:v>6056.2</c:v>
                </c:pt>
                <c:pt idx="1">
                  <c:v>6631.1</c:v>
                </c:pt>
                <c:pt idx="2">
                  <c:v>7806.4</c:v>
                </c:pt>
                <c:pt idx="3">
                  <c:v>9526.5</c:v>
                </c:pt>
                <c:pt idx="4">
                  <c:v>10526.1</c:v>
                </c:pt>
                <c:pt idx="5">
                  <c:v>6209.8</c:v>
                </c:pt>
                <c:pt idx="6">
                  <c:v>7982.2</c:v>
                </c:pt>
                <c:pt idx="7">
                  <c:v>9656.2999999999993</c:v>
                </c:pt>
                <c:pt idx="8">
                  <c:v>10084.8629609</c:v>
                </c:pt>
                <c:pt idx="9">
                  <c:v>9525.0478595999994</c:v>
                </c:pt>
                <c:pt idx="10">
                  <c:v>8947.7364885999996</c:v>
                </c:pt>
                <c:pt idx="11">
                  <c:v>7848.3547778999991</c:v>
                </c:pt>
                <c:pt idx="12">
                  <c:v>7700.6521864999995</c:v>
                </c:pt>
                <c:pt idx="13">
                  <c:v>8269.5079999999998</c:v>
                </c:pt>
                <c:pt idx="14">
                  <c:v>8393.4108784662603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FD-4F1C-856B-2272D64A0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207544"/>
        <c:axId val="566207864"/>
      </c:scatterChart>
      <c:valAx>
        <c:axId val="56620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207864"/>
        <c:crosses val="autoZero"/>
        <c:crossBetween val="midCat"/>
      </c:valAx>
      <c:valAx>
        <c:axId val="56620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20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Диаграмма рассеивания "Текущий уровень государственных расходов"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Данные!$D$11:$S$11</c:f>
              <c:numCache>
                <c:formatCode>General</c:formatCode>
                <c:ptCount val="16"/>
                <c:pt idx="0">
                  <c:v>6390</c:v>
                </c:pt>
                <c:pt idx="1">
                  <c:v>6540.2</c:v>
                </c:pt>
                <c:pt idx="2">
                  <c:v>6679</c:v>
                </c:pt>
                <c:pt idx="3">
                  <c:v>6775.3</c:v>
                </c:pt>
                <c:pt idx="4">
                  <c:v>6931.9</c:v>
                </c:pt>
                <c:pt idx="5">
                  <c:v>7120.7</c:v>
                </c:pt>
                <c:pt idx="6">
                  <c:v>7359.9</c:v>
                </c:pt>
                <c:pt idx="7">
                  <c:v>7314.5</c:v>
                </c:pt>
                <c:pt idx="8">
                  <c:v>7205.7</c:v>
                </c:pt>
                <c:pt idx="9">
                  <c:v>7306.7</c:v>
                </c:pt>
                <c:pt idx="10">
                  <c:v>7498.7</c:v>
                </c:pt>
                <c:pt idx="11">
                  <c:v>7562.6711761688503</c:v>
                </c:pt>
                <c:pt idx="12">
                  <c:v>7401.9951260520202</c:v>
                </c:pt>
                <c:pt idx="13">
                  <c:v>7170.7326642855796</c:v>
                </c:pt>
                <c:pt idx="14">
                  <c:v>7238.2651898854401</c:v>
                </c:pt>
                <c:pt idx="15">
                  <c:v>7264.2719268000001</c:v>
                </c:pt>
              </c:numCache>
            </c:numRef>
          </c:xVal>
          <c:yVal>
            <c:numRef>
              <c:f>Данные!$E$11:$T$11</c:f>
              <c:numCache>
                <c:formatCode>General</c:formatCode>
                <c:ptCount val="16"/>
                <c:pt idx="0">
                  <c:v>6540.2</c:v>
                </c:pt>
                <c:pt idx="1">
                  <c:v>6679</c:v>
                </c:pt>
                <c:pt idx="2">
                  <c:v>6775.3</c:v>
                </c:pt>
                <c:pt idx="3">
                  <c:v>6931.9</c:v>
                </c:pt>
                <c:pt idx="4">
                  <c:v>7120.7</c:v>
                </c:pt>
                <c:pt idx="5">
                  <c:v>7359.9</c:v>
                </c:pt>
                <c:pt idx="6">
                  <c:v>7314.5</c:v>
                </c:pt>
                <c:pt idx="7">
                  <c:v>7205.7</c:v>
                </c:pt>
                <c:pt idx="8">
                  <c:v>7306.7</c:v>
                </c:pt>
                <c:pt idx="9">
                  <c:v>7498.7</c:v>
                </c:pt>
                <c:pt idx="10">
                  <c:v>7562.6711761688503</c:v>
                </c:pt>
                <c:pt idx="11">
                  <c:v>7401.9951260520202</c:v>
                </c:pt>
                <c:pt idx="12">
                  <c:v>7170.7326642855796</c:v>
                </c:pt>
                <c:pt idx="13">
                  <c:v>7238.2651898854401</c:v>
                </c:pt>
                <c:pt idx="14">
                  <c:v>7264.2719268000001</c:v>
                </c:pt>
                <c:pt idx="15">
                  <c:v>7326.3820647624398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67-45AC-A834-B2F644A63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112120"/>
        <c:axId val="672111160"/>
      </c:scatterChart>
      <c:valAx>
        <c:axId val="672112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2111160"/>
        <c:crosses val="autoZero"/>
        <c:crossBetween val="midCat"/>
      </c:valAx>
      <c:valAx>
        <c:axId val="67211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2112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рассеивания "</a:t>
            </a:r>
            <a:r>
              <a:rPr lang="en-US" baseline="0"/>
              <a:t>C - </a:t>
            </a:r>
            <a:r>
              <a:rPr lang="ru-RU" baseline="0"/>
              <a:t>Лаговый ВВП - текущее потребление домохозяйств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Данные!$D$7:$S$7</c:f>
              <c:numCache>
                <c:formatCode>General</c:formatCode>
                <c:ptCount val="16"/>
                <c:pt idx="0">
                  <c:v>27312.3</c:v>
                </c:pt>
                <c:pt idx="1">
                  <c:v>29304.9</c:v>
                </c:pt>
                <c:pt idx="2">
                  <c:v>31407.8</c:v>
                </c:pt>
                <c:pt idx="3">
                  <c:v>33410.5</c:v>
                </c:pt>
                <c:pt idx="4">
                  <c:v>36134.6</c:v>
                </c:pt>
                <c:pt idx="5">
                  <c:v>39218.699999999997</c:v>
                </c:pt>
                <c:pt idx="6">
                  <c:v>41276.800000000003</c:v>
                </c:pt>
                <c:pt idx="7">
                  <c:v>38048.6</c:v>
                </c:pt>
                <c:pt idx="8">
                  <c:v>39762.199999999997</c:v>
                </c:pt>
                <c:pt idx="9">
                  <c:v>41457.800000000003</c:v>
                </c:pt>
                <c:pt idx="10">
                  <c:v>42973.5</c:v>
                </c:pt>
                <c:pt idx="11">
                  <c:v>43740.704111475097</c:v>
                </c:pt>
                <c:pt idx="12">
                  <c:v>44063.797454319298</c:v>
                </c:pt>
                <c:pt idx="13">
                  <c:v>42945.281037116903</c:v>
                </c:pt>
                <c:pt idx="14">
                  <c:v>42871.144250487298</c:v>
                </c:pt>
                <c:pt idx="15">
                  <c:v>43533.749989135002</c:v>
                </c:pt>
              </c:numCache>
            </c:numRef>
          </c:xVal>
          <c:yVal>
            <c:numRef>
              <c:f>Данные!$E$10:$T$10</c:f>
              <c:numCache>
                <c:formatCode>General</c:formatCode>
                <c:ptCount val="16"/>
                <c:pt idx="0">
                  <c:v>11159.8</c:v>
                </c:pt>
                <c:pt idx="1">
                  <c:v>12550.7</c:v>
                </c:pt>
                <c:pt idx="2">
                  <c:v>14087.4</c:v>
                </c:pt>
                <c:pt idx="3">
                  <c:v>15799.7</c:v>
                </c:pt>
                <c:pt idx="4">
                  <c:v>18060.8</c:v>
                </c:pt>
                <c:pt idx="5">
                  <c:v>19967</c:v>
                </c:pt>
                <c:pt idx="6">
                  <c:v>18946.599999999999</c:v>
                </c:pt>
                <c:pt idx="7">
                  <c:v>19993.8</c:v>
                </c:pt>
                <c:pt idx="8">
                  <c:v>21356.2</c:v>
                </c:pt>
                <c:pt idx="9">
                  <c:v>23053.8</c:v>
                </c:pt>
                <c:pt idx="10">
                  <c:v>24263.159764191099</c:v>
                </c:pt>
                <c:pt idx="11">
                  <c:v>24736.3708425324</c:v>
                </c:pt>
                <c:pt idx="12">
                  <c:v>22418.535331585401</c:v>
                </c:pt>
                <c:pt idx="13">
                  <c:v>21780.763210474499</c:v>
                </c:pt>
                <c:pt idx="14">
                  <c:v>22511.920513599998</c:v>
                </c:pt>
                <c:pt idx="15">
                  <c:v>23010.044974890901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96-4784-9A23-A958087B4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849208"/>
        <c:axId val="346852728"/>
      </c:scatterChart>
      <c:valAx>
        <c:axId val="34684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852728"/>
        <c:crosses val="autoZero"/>
        <c:crossBetween val="midCat"/>
      </c:valAx>
      <c:valAx>
        <c:axId val="34685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84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89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33746</xdr:colOff>
      <xdr:row>23</xdr:row>
      <xdr:rowOff>31750</xdr:rowOff>
    </xdr:from>
    <xdr:to>
      <xdr:col>2</xdr:col>
      <xdr:colOff>4212046</xdr:colOff>
      <xdr:row>38</xdr:row>
      <xdr:rowOff>31749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CD12AFE-BE8A-43B1-8F2D-16676F8EA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77289</xdr:colOff>
      <xdr:row>23</xdr:row>
      <xdr:rowOff>17418</xdr:rowOff>
    </xdr:from>
    <xdr:to>
      <xdr:col>11</xdr:col>
      <xdr:colOff>153489</xdr:colOff>
      <xdr:row>38</xdr:row>
      <xdr:rowOff>17417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D80BE00-6D01-4774-B873-5570AA94D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250008</xdr:colOff>
      <xdr:row>23</xdr:row>
      <xdr:rowOff>20683</xdr:rowOff>
    </xdr:from>
    <xdr:to>
      <xdr:col>18</xdr:col>
      <xdr:colOff>173808</xdr:colOff>
      <xdr:row>38</xdr:row>
      <xdr:rowOff>20683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82076DC-8D55-4034-9AEA-2E7159D48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480785</xdr:colOff>
      <xdr:row>24</xdr:row>
      <xdr:rowOff>9071</xdr:rowOff>
    </xdr:from>
    <xdr:to>
      <xdr:col>29</xdr:col>
      <xdr:colOff>59871</xdr:colOff>
      <xdr:row>39</xdr:row>
      <xdr:rowOff>9070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7F5EE93-0986-4A93-91AB-F5AB66393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83820</xdr:colOff>
      <xdr:row>8</xdr:row>
      <xdr:rowOff>38100</xdr:rowOff>
    </xdr:from>
    <xdr:ext cx="1159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CB90AD9-6109-4E08-85B9-CAB0FCBF8B6C}"/>
                </a:ext>
              </a:extLst>
            </xdr:cNvPr>
            <xdr:cNvSpPr txBox="1"/>
          </xdr:nvSpPr>
          <xdr:spPr>
            <a:xfrm>
              <a:off x="5829300" y="1135380"/>
              <a:ext cx="1159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CB90AD9-6109-4E08-85B9-CAB0FCBF8B6C}"/>
                </a:ext>
              </a:extLst>
            </xdr:cNvPr>
            <xdr:cNvSpPr txBox="1"/>
          </xdr:nvSpPr>
          <xdr:spPr>
            <a:xfrm>
              <a:off x="5829300" y="1135380"/>
              <a:ext cx="1159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83820</xdr:colOff>
      <xdr:row>6</xdr:row>
      <xdr:rowOff>38100</xdr:rowOff>
    </xdr:from>
    <xdr:ext cx="1159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7485445-97EC-431E-B49C-11324A1E901D}"/>
                </a:ext>
              </a:extLst>
            </xdr:cNvPr>
            <xdr:cNvSpPr txBox="1"/>
          </xdr:nvSpPr>
          <xdr:spPr>
            <a:xfrm>
              <a:off x="5829300" y="1318260"/>
              <a:ext cx="1159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7485445-97EC-431E-B49C-11324A1E901D}"/>
                </a:ext>
              </a:extLst>
            </xdr:cNvPr>
            <xdr:cNvSpPr txBox="1"/>
          </xdr:nvSpPr>
          <xdr:spPr>
            <a:xfrm>
              <a:off x="5829300" y="1318260"/>
              <a:ext cx="1159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15240</xdr:colOff>
      <xdr:row>30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85BA06B-72A7-4FD6-8846-3463658B82EF}"/>
            </a:ext>
          </a:extLst>
        </xdr:cNvPr>
        <xdr:cNvSpPr txBox="1"/>
      </xdr:nvSpPr>
      <xdr:spPr>
        <a:xfrm>
          <a:off x="6370320" y="57607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121920</xdr:colOff>
      <xdr:row>29</xdr:row>
      <xdr:rowOff>175260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ECC22C6-87A9-480F-B99C-C7D8537D82A4}"/>
            </a:ext>
          </a:extLst>
        </xdr:cNvPr>
        <xdr:cNvSpPr txBox="1"/>
      </xdr:nvSpPr>
      <xdr:spPr>
        <a:xfrm>
          <a:off x="7086600" y="575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G28"/>
  <sheetViews>
    <sheetView topLeftCell="C1" zoomScale="84" workbookViewId="0">
      <selection activeCell="S7" sqref="S7"/>
    </sheetView>
  </sheetViews>
  <sheetFormatPr defaultRowHeight="14.4" x14ac:dyDescent="0.3"/>
  <cols>
    <col min="3" max="3" width="62.5546875" bestFit="1" customWidth="1"/>
    <col min="4" max="9" width="8" bestFit="1" customWidth="1"/>
    <col min="27" max="27" width="12" bestFit="1" customWidth="1"/>
    <col min="29" max="29" width="10.77734375" bestFit="1" customWidth="1"/>
    <col min="31" max="31" width="12" bestFit="1" customWidth="1"/>
    <col min="33" max="33" width="12" bestFit="1" customWidth="1"/>
  </cols>
  <sheetData>
    <row r="2" spans="3:33" ht="15" thickBot="1" x14ac:dyDescent="0.35"/>
    <row r="3" spans="3:33" x14ac:dyDescent="0.3">
      <c r="W3" s="26" t="s">
        <v>15</v>
      </c>
      <c r="X3" s="27" t="s">
        <v>16</v>
      </c>
      <c r="Y3" s="27" t="s">
        <v>17</v>
      </c>
      <c r="Z3" s="28" t="s">
        <v>21</v>
      </c>
      <c r="AB3" s="29" t="s">
        <v>26</v>
      </c>
      <c r="AC3" s="21"/>
      <c r="AE3" s="29" t="s">
        <v>27</v>
      </c>
      <c r="AG3" s="29" t="s">
        <v>19</v>
      </c>
    </row>
    <row r="4" spans="3:33" x14ac:dyDescent="0.3">
      <c r="C4" t="s">
        <v>0</v>
      </c>
      <c r="W4" s="4">
        <v>2003</v>
      </c>
      <c r="X4" s="5">
        <v>6540.2</v>
      </c>
      <c r="Y4" s="5">
        <v>6390</v>
      </c>
      <c r="Z4" s="23">
        <f>X4-1.0077*Y4</f>
        <v>100.99699999999939</v>
      </c>
      <c r="AB4" s="5">
        <f t="shared" ref="AB4:AB18" si="0">Z4^2</f>
        <v>10200.394008999876</v>
      </c>
      <c r="AE4" s="5">
        <f t="shared" ref="AE4:AE18" si="1">Y4^2</f>
        <v>40832100</v>
      </c>
      <c r="AG4" s="5">
        <f t="shared" ref="AG4:AG18" si="2">X4*Y4</f>
        <v>41791878</v>
      </c>
    </row>
    <row r="5" spans="3:33" ht="15" thickBot="1" x14ac:dyDescent="0.35">
      <c r="C5" t="s">
        <v>1</v>
      </c>
      <c r="W5" s="4">
        <v>2004</v>
      </c>
      <c r="X5" s="5">
        <v>6679</v>
      </c>
      <c r="Y5" s="5">
        <v>6540.2</v>
      </c>
      <c r="Z5" s="23">
        <f t="shared" ref="Z5:Z18" si="3">X5-1.0077*Y5</f>
        <v>88.440459999999803</v>
      </c>
      <c r="AB5" s="5">
        <f t="shared" si="0"/>
        <v>7821.7149650115653</v>
      </c>
      <c r="AE5" s="5">
        <f t="shared" si="1"/>
        <v>42774216.039999999</v>
      </c>
      <c r="AG5" s="5">
        <f t="shared" si="2"/>
        <v>43681995.799999997</v>
      </c>
    </row>
    <row r="6" spans="3:33" x14ac:dyDescent="0.3">
      <c r="C6" s="1"/>
      <c r="D6" s="2">
        <v>2002</v>
      </c>
      <c r="E6" s="2">
        <v>2003</v>
      </c>
      <c r="F6" s="2">
        <v>2004</v>
      </c>
      <c r="G6" s="2">
        <v>2005</v>
      </c>
      <c r="H6" s="2">
        <v>2006</v>
      </c>
      <c r="I6" s="2">
        <v>2007</v>
      </c>
      <c r="J6" s="2">
        <v>2008</v>
      </c>
      <c r="K6" s="2">
        <v>2009</v>
      </c>
      <c r="L6" s="2">
        <v>2010</v>
      </c>
      <c r="M6" s="2">
        <v>2011</v>
      </c>
      <c r="N6" s="2">
        <v>2012</v>
      </c>
      <c r="O6" s="2">
        <v>2013</v>
      </c>
      <c r="P6" s="2">
        <v>2014</v>
      </c>
      <c r="Q6" s="2">
        <v>2015</v>
      </c>
      <c r="R6" s="2">
        <v>2016</v>
      </c>
      <c r="S6" s="3">
        <v>2017</v>
      </c>
      <c r="T6" s="13">
        <v>2018</v>
      </c>
      <c r="W6" s="4">
        <v>2005</v>
      </c>
      <c r="X6" s="5">
        <v>6775.3</v>
      </c>
      <c r="Y6" s="5">
        <v>6679</v>
      </c>
      <c r="Z6" s="23">
        <f t="shared" si="3"/>
        <v>44.871699999999691</v>
      </c>
      <c r="AB6" s="5">
        <f t="shared" si="0"/>
        <v>2013.4694608899724</v>
      </c>
      <c r="AE6" s="5">
        <f t="shared" si="1"/>
        <v>44609041</v>
      </c>
      <c r="AG6" s="5">
        <f t="shared" si="2"/>
        <v>45252228.700000003</v>
      </c>
    </row>
    <row r="7" spans="3:33" x14ac:dyDescent="0.3">
      <c r="C7" s="4" t="s">
        <v>11</v>
      </c>
      <c r="D7" s="5">
        <v>27312.3</v>
      </c>
      <c r="E7" s="5">
        <v>29304.9</v>
      </c>
      <c r="F7" s="5">
        <v>31407.8</v>
      </c>
      <c r="G7" s="5">
        <v>33410.5</v>
      </c>
      <c r="H7" s="5">
        <v>36134.6</v>
      </c>
      <c r="I7" s="5">
        <v>39218.699999999997</v>
      </c>
      <c r="J7" s="5">
        <v>41276.800000000003</v>
      </c>
      <c r="K7" s="5">
        <v>38048.6</v>
      </c>
      <c r="L7" s="5">
        <v>39762.199999999997</v>
      </c>
      <c r="M7" s="5">
        <v>41457.800000000003</v>
      </c>
      <c r="N7" s="8">
        <v>42973.5</v>
      </c>
      <c r="O7" s="8">
        <v>43740.704111475097</v>
      </c>
      <c r="P7" s="8">
        <v>44063.797454319298</v>
      </c>
      <c r="Q7" s="8">
        <v>42945.281037116903</v>
      </c>
      <c r="R7" s="8">
        <v>42871.144250487298</v>
      </c>
      <c r="S7" s="9">
        <v>43533.749989135002</v>
      </c>
      <c r="T7" s="14">
        <v>44523.5664665773</v>
      </c>
      <c r="W7" s="4">
        <v>2006</v>
      </c>
      <c r="X7" s="5">
        <v>6931.9</v>
      </c>
      <c r="Y7" s="5">
        <v>6775.3</v>
      </c>
      <c r="Z7" s="23">
        <f t="shared" si="3"/>
        <v>104.43018999999913</v>
      </c>
      <c r="AB7" s="5">
        <f t="shared" si="0"/>
        <v>10905.664583435919</v>
      </c>
      <c r="AE7" s="5">
        <f t="shared" si="1"/>
        <v>45904690.090000004</v>
      </c>
      <c r="AG7" s="5">
        <f t="shared" si="2"/>
        <v>46965702.07</v>
      </c>
    </row>
    <row r="8" spans="3:33" x14ac:dyDescent="0.3">
      <c r="C8" s="4" t="s">
        <v>13</v>
      </c>
      <c r="D8" s="5"/>
      <c r="E8" s="5">
        <f xml:space="preserve"> E7 - D7</f>
        <v>1992.6000000000022</v>
      </c>
      <c r="F8" s="5">
        <f xml:space="preserve"> F7 - E7</f>
        <v>2102.8999999999978</v>
      </c>
      <c r="G8" s="5">
        <f t="shared" ref="G8:S8" si="4" xml:space="preserve"> G7 - F7</f>
        <v>2002.7000000000007</v>
      </c>
      <c r="H8" s="5">
        <f t="shared" si="4"/>
        <v>2724.0999999999985</v>
      </c>
      <c r="I8" s="5">
        <f t="shared" si="4"/>
        <v>3084.0999999999985</v>
      </c>
      <c r="J8" s="5">
        <f t="shared" si="4"/>
        <v>2058.1000000000058</v>
      </c>
      <c r="K8" s="5">
        <f t="shared" si="4"/>
        <v>-3228.2000000000044</v>
      </c>
      <c r="L8" s="5">
        <f t="shared" si="4"/>
        <v>1713.5999999999985</v>
      </c>
      <c r="M8" s="5">
        <f t="shared" si="4"/>
        <v>1695.6000000000058</v>
      </c>
      <c r="N8" s="5">
        <f t="shared" si="4"/>
        <v>1515.6999999999971</v>
      </c>
      <c r="O8" s="5">
        <f t="shared" si="4"/>
        <v>767.20411147509731</v>
      </c>
      <c r="P8" s="5">
        <f t="shared" si="4"/>
        <v>323.09334284420038</v>
      </c>
      <c r="Q8" s="5">
        <f t="shared" si="4"/>
        <v>-1118.5164172023942</v>
      </c>
      <c r="R8" s="5">
        <f t="shared" si="4"/>
        <v>-74.136786629605922</v>
      </c>
      <c r="S8" s="5">
        <f t="shared" si="4"/>
        <v>662.60573864770413</v>
      </c>
      <c r="T8" s="5">
        <f xml:space="preserve"> T7 - S7</f>
        <v>989.81647744229849</v>
      </c>
      <c r="W8" s="4">
        <v>2007</v>
      </c>
      <c r="X8" s="5">
        <v>7120.7</v>
      </c>
      <c r="Y8" s="5">
        <v>6931.9</v>
      </c>
      <c r="Z8" s="23">
        <f t="shared" si="3"/>
        <v>135.42436999999973</v>
      </c>
      <c r="AB8" s="5">
        <f t="shared" si="0"/>
        <v>18339.759989896826</v>
      </c>
      <c r="AE8" s="5">
        <f t="shared" si="1"/>
        <v>48051237.609999992</v>
      </c>
      <c r="AG8" s="5">
        <f t="shared" si="2"/>
        <v>49359980.329999998</v>
      </c>
    </row>
    <row r="9" spans="3:33" x14ac:dyDescent="0.3">
      <c r="C9" s="4" t="s">
        <v>2</v>
      </c>
      <c r="D9" s="5">
        <v>16458</v>
      </c>
      <c r="E9" s="5">
        <v>17458.5</v>
      </c>
      <c r="F9" s="5">
        <v>19092.599999999999</v>
      </c>
      <c r="G9" s="5">
        <v>20835</v>
      </c>
      <c r="H9" s="5">
        <v>22821.5</v>
      </c>
      <c r="I9" s="5">
        <v>25369.599999999999</v>
      </c>
      <c r="J9" s="5">
        <v>27543.599999999999</v>
      </c>
      <c r="K9" s="5">
        <v>26460.5</v>
      </c>
      <c r="L9" s="5">
        <v>27399.7</v>
      </c>
      <c r="M9" s="5">
        <v>28849</v>
      </c>
      <c r="N9" s="8"/>
      <c r="O9" s="8"/>
      <c r="P9" s="8"/>
      <c r="Q9" s="8"/>
      <c r="R9" s="8"/>
      <c r="S9" s="9"/>
      <c r="T9" s="14"/>
      <c r="W9" s="4">
        <v>2008</v>
      </c>
      <c r="X9" s="5">
        <v>7359.9</v>
      </c>
      <c r="Y9" s="5">
        <v>7120.7</v>
      </c>
      <c r="Z9" s="23">
        <f t="shared" si="3"/>
        <v>184.37060999999994</v>
      </c>
      <c r="AB9" s="5">
        <f t="shared" si="0"/>
        <v>33992.521831772079</v>
      </c>
      <c r="AE9" s="5">
        <f t="shared" si="1"/>
        <v>50704368.489999995</v>
      </c>
      <c r="AG9" s="5">
        <f t="shared" si="2"/>
        <v>52407639.93</v>
      </c>
    </row>
    <row r="10" spans="3:33" x14ac:dyDescent="0.3">
      <c r="C10" s="4" t="s">
        <v>12</v>
      </c>
      <c r="D10" s="5">
        <v>10366.6</v>
      </c>
      <c r="E10" s="5">
        <v>11159.8</v>
      </c>
      <c r="F10" s="5">
        <v>12550.7</v>
      </c>
      <c r="G10" s="5">
        <v>14087.4</v>
      </c>
      <c r="H10" s="5">
        <v>15799.7</v>
      </c>
      <c r="I10" s="5">
        <v>18060.8</v>
      </c>
      <c r="J10" s="5">
        <v>19967</v>
      </c>
      <c r="K10" s="33">
        <v>18946.599999999999</v>
      </c>
      <c r="L10" s="5">
        <v>19993.8</v>
      </c>
      <c r="M10" s="5">
        <v>21356.2</v>
      </c>
      <c r="N10" s="8">
        <v>23053.8</v>
      </c>
      <c r="O10" s="8">
        <v>24263.159764191099</v>
      </c>
      <c r="P10" s="8">
        <v>24736.3708425324</v>
      </c>
      <c r="Q10" s="8">
        <v>22418.535331585401</v>
      </c>
      <c r="R10" s="8">
        <v>21780.763210474499</v>
      </c>
      <c r="S10" s="9">
        <v>22511.920513599998</v>
      </c>
      <c r="T10" s="14">
        <v>23010.044974890901</v>
      </c>
      <c r="W10" s="4">
        <v>2009</v>
      </c>
      <c r="X10" s="5">
        <v>7314.5</v>
      </c>
      <c r="Y10" s="5">
        <v>7359.9</v>
      </c>
      <c r="Z10" s="23">
        <f t="shared" si="3"/>
        <v>-102.07122999999956</v>
      </c>
      <c r="AB10" s="5">
        <f t="shared" si="0"/>
        <v>10418.535993712811</v>
      </c>
      <c r="AE10" s="5">
        <f t="shared" si="1"/>
        <v>54168128.009999998</v>
      </c>
      <c r="AG10" s="5">
        <f t="shared" si="2"/>
        <v>53833988.549999997</v>
      </c>
    </row>
    <row r="11" spans="3:33" x14ac:dyDescent="0.3">
      <c r="C11" s="4" t="s">
        <v>10</v>
      </c>
      <c r="D11" s="5">
        <v>6390</v>
      </c>
      <c r="E11" s="5">
        <v>6540.2</v>
      </c>
      <c r="F11" s="5">
        <v>6679</v>
      </c>
      <c r="G11" s="5">
        <v>6775.3</v>
      </c>
      <c r="H11" s="5">
        <v>6931.9</v>
      </c>
      <c r="I11" s="5">
        <v>7120.7</v>
      </c>
      <c r="J11" s="5">
        <v>7359.9</v>
      </c>
      <c r="K11" s="5">
        <v>7314.5</v>
      </c>
      <c r="L11" s="5">
        <v>7205.7</v>
      </c>
      <c r="M11" s="5">
        <v>7306.7</v>
      </c>
      <c r="N11" s="8">
        <v>7498.7</v>
      </c>
      <c r="O11" s="8">
        <v>7562.6711761688503</v>
      </c>
      <c r="P11" s="8">
        <v>7401.9951260520202</v>
      </c>
      <c r="Q11" s="8">
        <v>7170.7326642855796</v>
      </c>
      <c r="R11" s="8">
        <v>7238.2651898854401</v>
      </c>
      <c r="S11" s="9">
        <v>7264.2719268000001</v>
      </c>
      <c r="T11" s="14">
        <v>7326.3820647624398</v>
      </c>
      <c r="W11" s="4">
        <v>2010</v>
      </c>
      <c r="X11" s="5">
        <v>7205.7</v>
      </c>
      <c r="Y11" s="5">
        <v>7314.5</v>
      </c>
      <c r="Z11" s="23">
        <f t="shared" si="3"/>
        <v>-165.12165000000005</v>
      </c>
      <c r="AB11" s="5">
        <f t="shared" si="0"/>
        <v>27265.159298722516</v>
      </c>
      <c r="AE11" s="5">
        <f t="shared" si="1"/>
        <v>53501910.25</v>
      </c>
      <c r="AG11" s="5">
        <f t="shared" si="2"/>
        <v>52706092.649999999</v>
      </c>
    </row>
    <row r="12" spans="3:33" x14ac:dyDescent="0.3">
      <c r="C12" s="4" t="s">
        <v>3</v>
      </c>
      <c r="D12" s="5">
        <v>299.60000000000002</v>
      </c>
      <c r="E12" s="5">
        <v>300</v>
      </c>
      <c r="F12" s="5">
        <v>266.7</v>
      </c>
      <c r="G12" s="5">
        <v>217.8</v>
      </c>
      <c r="H12" s="5">
        <v>214</v>
      </c>
      <c r="I12" s="5">
        <v>219.9</v>
      </c>
      <c r="J12" s="5">
        <v>216.7</v>
      </c>
      <c r="K12" s="5">
        <v>199.4</v>
      </c>
      <c r="L12" s="5">
        <v>198.4</v>
      </c>
      <c r="M12" s="5">
        <v>188.8</v>
      </c>
      <c r="N12" s="8"/>
      <c r="O12" s="8"/>
      <c r="P12" s="8"/>
      <c r="Q12" s="8"/>
      <c r="R12" s="8"/>
      <c r="S12" s="9"/>
      <c r="T12" s="14"/>
      <c r="W12" s="4">
        <v>2011</v>
      </c>
      <c r="X12" s="5">
        <v>7306.7</v>
      </c>
      <c r="Y12" s="5">
        <v>7205.7</v>
      </c>
      <c r="Z12" s="23">
        <f t="shared" si="3"/>
        <v>45.516109999999571</v>
      </c>
      <c r="AB12" s="5">
        <f t="shared" si="0"/>
        <v>2071.7162695320608</v>
      </c>
      <c r="AE12" s="5">
        <f t="shared" si="1"/>
        <v>51922112.489999995</v>
      </c>
      <c r="AG12" s="5">
        <f t="shared" si="2"/>
        <v>52649888.189999998</v>
      </c>
    </row>
    <row r="13" spans="3:33" x14ac:dyDescent="0.3">
      <c r="C13" s="4" t="s">
        <v>9</v>
      </c>
      <c r="D13" s="5">
        <v>4723.1000000000004</v>
      </c>
      <c r="E13" s="5">
        <v>5396.9</v>
      </c>
      <c r="F13" s="5">
        <v>6056.2</v>
      </c>
      <c r="G13" s="5">
        <v>6631.1</v>
      </c>
      <c r="H13" s="5">
        <v>7806.4</v>
      </c>
      <c r="I13" s="5">
        <v>9526.5</v>
      </c>
      <c r="J13" s="5">
        <v>10526.1</v>
      </c>
      <c r="K13" s="5">
        <v>6209.8</v>
      </c>
      <c r="L13" s="5">
        <v>7982.2</v>
      </c>
      <c r="M13" s="5">
        <v>9656.2999999999993</v>
      </c>
      <c r="N13" s="8">
        <v>10084.8629609</v>
      </c>
      <c r="O13" s="8">
        <v>9525.0478595999994</v>
      </c>
      <c r="P13" s="8">
        <v>8947.7364885999996</v>
      </c>
      <c r="Q13" s="8">
        <v>7848.3547778999991</v>
      </c>
      <c r="R13" s="8">
        <v>7700.6521864999995</v>
      </c>
      <c r="S13" s="9">
        <v>8269.5079999999998</v>
      </c>
      <c r="T13" s="14">
        <v>8393.4108784662603</v>
      </c>
      <c r="W13" s="4">
        <v>2012</v>
      </c>
      <c r="X13" s="8">
        <v>7498.7</v>
      </c>
      <c r="Y13" s="5">
        <v>7306.7</v>
      </c>
      <c r="Z13" s="23">
        <f t="shared" si="3"/>
        <v>135.73840999999993</v>
      </c>
      <c r="AB13" s="5">
        <f t="shared" si="0"/>
        <v>18424.915949328082</v>
      </c>
      <c r="AE13" s="5">
        <f t="shared" si="1"/>
        <v>53387864.890000001</v>
      </c>
      <c r="AG13" s="5">
        <f t="shared" si="2"/>
        <v>54790751.289999999</v>
      </c>
    </row>
    <row r="14" spans="3:33" x14ac:dyDescent="0.3">
      <c r="C14" s="4" t="s">
        <v>4</v>
      </c>
      <c r="D14" s="5">
        <v>4105</v>
      </c>
      <c r="E14" s="5">
        <v>4677.6000000000004</v>
      </c>
      <c r="F14" s="5">
        <v>5266.2</v>
      </c>
      <c r="G14" s="5">
        <v>5823.9</v>
      </c>
      <c r="H14" s="5">
        <v>6873.4</v>
      </c>
      <c r="I14" s="5">
        <v>8316</v>
      </c>
      <c r="J14" s="5">
        <v>9200.7999999999993</v>
      </c>
      <c r="K14" s="5">
        <v>7877.3</v>
      </c>
      <c r="L14" s="5">
        <v>8339.7000000000007</v>
      </c>
      <c r="M14" s="5" t="s">
        <v>5</v>
      </c>
      <c r="N14" s="5"/>
      <c r="O14" s="5"/>
      <c r="P14" s="5"/>
      <c r="Q14" s="5"/>
      <c r="R14" s="5"/>
      <c r="S14" s="6"/>
      <c r="T14" s="15"/>
      <c r="W14" s="4">
        <v>2013</v>
      </c>
      <c r="X14" s="8">
        <v>7562.6711761688503</v>
      </c>
      <c r="Y14" s="8">
        <v>7498.7</v>
      </c>
      <c r="Z14" s="23">
        <f t="shared" si="3"/>
        <v>6.2311861688503996</v>
      </c>
      <c r="AB14" s="5">
        <f t="shared" si="0"/>
        <v>38.827681070872522</v>
      </c>
      <c r="AE14" s="5">
        <f t="shared" si="1"/>
        <v>56230501.689999998</v>
      </c>
      <c r="AG14" s="5">
        <f t="shared" si="2"/>
        <v>56710202.348737359</v>
      </c>
    </row>
    <row r="15" spans="3:33" x14ac:dyDescent="0.3">
      <c r="C15" s="4" t="s">
        <v>6</v>
      </c>
      <c r="D15" s="5">
        <v>8401.7999999999993</v>
      </c>
      <c r="E15" s="5">
        <v>9463.7999999999993</v>
      </c>
      <c r="F15" s="5">
        <v>10581.3</v>
      </c>
      <c r="G15" s="5">
        <v>11264.7</v>
      </c>
      <c r="H15" s="5">
        <v>12089.8</v>
      </c>
      <c r="I15" s="5">
        <v>12847.6</v>
      </c>
      <c r="J15" s="5">
        <v>12923.6</v>
      </c>
      <c r="K15" s="5">
        <v>12311.5</v>
      </c>
      <c r="L15" s="5">
        <v>13179.1</v>
      </c>
      <c r="M15" s="5">
        <v>13220.4</v>
      </c>
      <c r="N15" s="5"/>
      <c r="O15" s="5"/>
      <c r="P15" s="5"/>
      <c r="Q15" s="5"/>
      <c r="R15" s="5"/>
      <c r="S15" s="6"/>
      <c r="T15" s="15"/>
      <c r="W15" s="4">
        <v>2014</v>
      </c>
      <c r="X15" s="8">
        <v>7401.9951260520202</v>
      </c>
      <c r="Y15" s="8">
        <v>7562.6711761688503</v>
      </c>
      <c r="Z15" s="23">
        <f t="shared" si="3"/>
        <v>-218.90861817333098</v>
      </c>
      <c r="AB15" s="5">
        <f t="shared" si="0"/>
        <v>47920.983110557216</v>
      </c>
      <c r="AE15" s="5">
        <f t="shared" si="1"/>
        <v>57193995.318855144</v>
      </c>
      <c r="AG15" s="5">
        <f t="shared" si="2"/>
        <v>55978855.185935929</v>
      </c>
    </row>
    <row r="16" spans="3:33" x14ac:dyDescent="0.3">
      <c r="C16" s="4" t="s">
        <v>7</v>
      </c>
      <c r="D16" s="5">
        <v>3076.3</v>
      </c>
      <c r="E16" s="5">
        <v>3607.9</v>
      </c>
      <c r="F16" s="5">
        <v>4447.1000000000004</v>
      </c>
      <c r="G16" s="5">
        <v>5186.7</v>
      </c>
      <c r="H16" s="5">
        <v>6290.1</v>
      </c>
      <c r="I16" s="5">
        <v>7938.4</v>
      </c>
      <c r="J16" s="5">
        <v>9111</v>
      </c>
      <c r="K16" s="5">
        <v>6339.5</v>
      </c>
      <c r="L16" s="5">
        <v>7975.9</v>
      </c>
      <c r="M16" s="5">
        <v>9593.9</v>
      </c>
      <c r="N16" s="5"/>
      <c r="O16" s="5"/>
      <c r="P16" s="5"/>
      <c r="Q16" s="5"/>
      <c r="R16" s="5"/>
      <c r="S16" s="6"/>
      <c r="T16" s="15"/>
      <c r="W16" s="4">
        <v>2015</v>
      </c>
      <c r="X16" s="8">
        <v>7170.7326642855796</v>
      </c>
      <c r="Y16" s="8">
        <v>7401.9951260520202</v>
      </c>
      <c r="Z16" s="23">
        <f t="shared" si="3"/>
        <v>-288.25782423704095</v>
      </c>
      <c r="AB16" s="5">
        <f t="shared" si="0"/>
        <v>83092.573233872798</v>
      </c>
      <c r="AE16" s="5">
        <f t="shared" si="1"/>
        <v>54789531.846097864</v>
      </c>
      <c r="AG16" s="5">
        <f t="shared" si="2"/>
        <v>53077728.231263876</v>
      </c>
    </row>
    <row r="17" spans="3:33" x14ac:dyDescent="0.3">
      <c r="C17" s="10" t="s">
        <v>8</v>
      </c>
      <c r="D17" s="11">
        <v>-247.6</v>
      </c>
      <c r="E17" s="11">
        <v>-302.7</v>
      </c>
      <c r="F17" s="11">
        <v>-424.6</v>
      </c>
      <c r="G17" s="11">
        <v>-534</v>
      </c>
      <c r="H17" s="11">
        <v>-486.5</v>
      </c>
      <c r="I17" s="11">
        <v>-573</v>
      </c>
      <c r="J17" s="11">
        <v>-605.5</v>
      </c>
      <c r="K17" s="11">
        <v>-593.70000000000005</v>
      </c>
      <c r="L17" s="11">
        <v>-686</v>
      </c>
      <c r="M17" s="11">
        <v>-697.9</v>
      </c>
      <c r="N17" s="11"/>
      <c r="O17" s="11"/>
      <c r="P17" s="11"/>
      <c r="Q17" s="11"/>
      <c r="R17" s="11"/>
      <c r="S17" s="12"/>
      <c r="T17" s="16"/>
      <c r="W17" s="4">
        <v>2016</v>
      </c>
      <c r="X17" s="8">
        <v>7238.2651898854401</v>
      </c>
      <c r="Y17" s="8">
        <v>7170.7326642855796</v>
      </c>
      <c r="Z17" s="23">
        <f t="shared" si="3"/>
        <v>12.317884084861362</v>
      </c>
      <c r="AB17" s="5">
        <f t="shared" si="0"/>
        <v>151.73026832808083</v>
      </c>
      <c r="AE17" s="5">
        <f t="shared" si="1"/>
        <v>51419406.942652166</v>
      </c>
      <c r="AG17" s="5">
        <f t="shared" si="2"/>
        <v>51903664.629872791</v>
      </c>
    </row>
    <row r="18" spans="3:33" ht="15" thickBot="1" x14ac:dyDescent="0.35">
      <c r="C18" s="17" t="s">
        <v>14</v>
      </c>
      <c r="D18" s="7"/>
      <c r="E18" s="7">
        <f>E7 + E11 +E13</f>
        <v>41242</v>
      </c>
      <c r="F18" s="7">
        <f t="shared" ref="F18:T18" si="5">F7 + F11 +F13</f>
        <v>44143</v>
      </c>
      <c r="G18" s="7">
        <f t="shared" si="5"/>
        <v>46816.9</v>
      </c>
      <c r="H18" s="7">
        <f t="shared" si="5"/>
        <v>50872.9</v>
      </c>
      <c r="I18" s="7">
        <f t="shared" si="5"/>
        <v>55865.899999999994</v>
      </c>
      <c r="J18" s="7">
        <f t="shared" si="5"/>
        <v>59162.8</v>
      </c>
      <c r="K18" s="7">
        <f t="shared" si="5"/>
        <v>51572.9</v>
      </c>
      <c r="L18" s="7">
        <f t="shared" si="5"/>
        <v>54950.099999999991</v>
      </c>
      <c r="M18" s="7">
        <f t="shared" si="5"/>
        <v>58420.800000000003</v>
      </c>
      <c r="N18" s="7">
        <f t="shared" si="5"/>
        <v>60557.062960899995</v>
      </c>
      <c r="O18" s="7">
        <f t="shared" si="5"/>
        <v>60828.423147243942</v>
      </c>
      <c r="P18" s="7">
        <f t="shared" si="5"/>
        <v>60413.529068971315</v>
      </c>
      <c r="Q18" s="7">
        <f t="shared" si="5"/>
        <v>57964.36847930248</v>
      </c>
      <c r="R18" s="7">
        <f t="shared" si="5"/>
        <v>57810.061626872732</v>
      </c>
      <c r="S18" s="7">
        <f t="shared" si="5"/>
        <v>59067.529915935003</v>
      </c>
      <c r="T18" s="18">
        <f t="shared" si="5"/>
        <v>60243.359409805998</v>
      </c>
      <c r="W18" s="19">
        <v>2017</v>
      </c>
      <c r="X18" s="20">
        <v>7264.2719268000001</v>
      </c>
      <c r="Y18" s="24">
        <v>7238.2651898854401</v>
      </c>
      <c r="Z18" s="25">
        <f t="shared" si="3"/>
        <v>-29.727905047558124</v>
      </c>
      <c r="AB18" s="11">
        <f t="shared" si="0"/>
        <v>883.74833851663186</v>
      </c>
      <c r="AE18" s="5">
        <f t="shared" si="1"/>
        <v>52392482.95910731</v>
      </c>
      <c r="AG18" s="5">
        <f t="shared" si="2"/>
        <v>52580726.617618471</v>
      </c>
    </row>
    <row r="19" spans="3:33" x14ac:dyDescent="0.3">
      <c r="Y19" s="30" t="s">
        <v>22</v>
      </c>
      <c r="Z19" s="31">
        <f>AVERAGE(Z3:Z18)</f>
        <v>3.6167128530519523</v>
      </c>
      <c r="AA19" s="30" t="s">
        <v>23</v>
      </c>
      <c r="AB19" s="31">
        <f>SUM(AB4:AB18)</f>
        <v>273541.71498364728</v>
      </c>
      <c r="AD19" s="30" t="s">
        <v>18</v>
      </c>
      <c r="AE19" s="31">
        <f xml:space="preserve"> SUM(AE4:AE18)</f>
        <v>757881587.62671244</v>
      </c>
      <c r="AF19" s="30" t="s">
        <v>20</v>
      </c>
      <c r="AG19" s="31">
        <f>SUM(AG4:AG18)</f>
        <v>763691322.52342844</v>
      </c>
    </row>
    <row r="21" spans="3:33" x14ac:dyDescent="0.3">
      <c r="Z21" s="95" t="s">
        <v>25</v>
      </c>
      <c r="AA21" s="95"/>
      <c r="AB21" s="32">
        <f>AG19/AE19</f>
        <v>1.0076657554314112</v>
      </c>
      <c r="AE21" s="22" t="s">
        <v>24</v>
      </c>
      <c r="AF21" s="31">
        <f xml:space="preserve"> SQRT(AB19/(15 - 1))</f>
        <v>139.78087826095305</v>
      </c>
    </row>
    <row r="22" spans="3:33" x14ac:dyDescent="0.3">
      <c r="U22" t="s">
        <v>28</v>
      </c>
      <c r="V22">
        <f>1.008*S11</f>
        <v>7322.3861022144001</v>
      </c>
    </row>
    <row r="28" spans="3:33" x14ac:dyDescent="0.3">
      <c r="Y28" s="31"/>
    </row>
  </sheetData>
  <mergeCells count="1">
    <mergeCell ref="Z21:AA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AD49"/>
  <sheetViews>
    <sheetView topLeftCell="E26" zoomScale="88" workbookViewId="0">
      <selection activeCell="Q49" sqref="Q49:R49"/>
    </sheetView>
  </sheetViews>
  <sheetFormatPr defaultRowHeight="14.4" x14ac:dyDescent="0.3"/>
  <cols>
    <col min="5" max="5" width="12.6640625" bestFit="1" customWidth="1"/>
    <col min="6" max="6" width="12" bestFit="1" customWidth="1"/>
    <col min="11" max="11" width="10.109375" bestFit="1" customWidth="1"/>
    <col min="13" max="13" width="12.109375" bestFit="1" customWidth="1"/>
    <col min="14" max="14" width="10.6640625" bestFit="1" customWidth="1"/>
    <col min="15" max="15" width="9" bestFit="1" customWidth="1"/>
    <col min="16" max="16" width="12.77734375" bestFit="1" customWidth="1"/>
    <col min="17" max="17" width="9" bestFit="1" customWidth="1"/>
    <col min="18" max="18" width="11.21875" customWidth="1"/>
    <col min="19" max="20" width="9.109375" bestFit="1" customWidth="1"/>
    <col min="21" max="21" width="9.21875" bestFit="1" customWidth="1"/>
    <col min="22" max="22" width="12.109375" bestFit="1" customWidth="1"/>
    <col min="23" max="23" width="10" bestFit="1" customWidth="1"/>
    <col min="24" max="24" width="12.21875" bestFit="1" customWidth="1"/>
    <col min="25" max="26" width="12.77734375" bestFit="1" customWidth="1"/>
    <col min="27" max="30" width="9" bestFit="1" customWidth="1"/>
  </cols>
  <sheetData>
    <row r="2" spans="4:27" x14ac:dyDescent="0.3">
      <c r="M2" s="42" t="s">
        <v>39</v>
      </c>
    </row>
    <row r="3" spans="4:27" ht="16.2" x14ac:dyDescent="0.3">
      <c r="D3" s="40" t="s">
        <v>15</v>
      </c>
      <c r="E3" s="40" t="s">
        <v>29</v>
      </c>
      <c r="F3" s="40" t="s">
        <v>32</v>
      </c>
      <c r="G3" s="40" t="s">
        <v>30</v>
      </c>
      <c r="H3" s="40" t="s">
        <v>31</v>
      </c>
      <c r="I3" s="40" t="s">
        <v>58</v>
      </c>
      <c r="J3" s="40" t="s">
        <v>59</v>
      </c>
      <c r="N3" s="38" t="s">
        <v>15</v>
      </c>
      <c r="O3" s="38" t="s">
        <v>37</v>
      </c>
      <c r="P3" s="38" t="s">
        <v>38</v>
      </c>
      <c r="Q3" s="40" t="s">
        <v>30</v>
      </c>
      <c r="R3" s="40" t="s">
        <v>31</v>
      </c>
      <c r="W3" s="38" t="s">
        <v>15</v>
      </c>
      <c r="X3" s="38" t="s">
        <v>16</v>
      </c>
      <c r="Y3" s="38" t="s">
        <v>17</v>
      </c>
      <c r="Z3" s="38" t="s">
        <v>30</v>
      </c>
      <c r="AA3" s="38" t="s">
        <v>31</v>
      </c>
    </row>
    <row r="4" spans="4:27" x14ac:dyDescent="0.3">
      <c r="D4" s="34">
        <v>2003</v>
      </c>
      <c r="E4" s="34">
        <v>11159.8</v>
      </c>
      <c r="F4" s="34">
        <v>27312.3</v>
      </c>
      <c r="G4" s="41">
        <v>0</v>
      </c>
      <c r="H4" s="41">
        <v>0</v>
      </c>
      <c r="I4" s="5">
        <f>E4-($H$21+$G$21*F4+$F$21*G4+$E$21*H4)</f>
        <v>332.65703018995737</v>
      </c>
      <c r="N4" s="36">
        <v>2003</v>
      </c>
      <c r="O4" s="36">
        <v>5396.9</v>
      </c>
      <c r="P4" s="36">
        <v>1992.6000000000022</v>
      </c>
      <c r="Q4" s="39">
        <v>0</v>
      </c>
      <c r="R4" s="39">
        <v>0</v>
      </c>
      <c r="W4" s="39">
        <v>2003</v>
      </c>
      <c r="X4" s="36">
        <v>6540.2</v>
      </c>
      <c r="Y4" s="36">
        <v>6390</v>
      </c>
      <c r="Z4" s="39">
        <v>0</v>
      </c>
      <c r="AA4" s="39">
        <v>0</v>
      </c>
    </row>
    <row r="5" spans="4:27" x14ac:dyDescent="0.3">
      <c r="D5" s="34">
        <v>2004</v>
      </c>
      <c r="E5" s="34">
        <v>12550.7</v>
      </c>
      <c r="F5" s="34">
        <v>29304.9</v>
      </c>
      <c r="G5" s="41">
        <v>0</v>
      </c>
      <c r="H5" s="41">
        <v>0</v>
      </c>
      <c r="I5" s="5">
        <f t="shared" ref="I5:I18" si="0">E5-($H$21+$G$21*F5+$F$21*G5+$E$21*H5)</f>
        <v>50.402677045020027</v>
      </c>
      <c r="J5" s="5">
        <f>(I5-I4)^2</f>
        <v>79667.519869266995</v>
      </c>
      <c r="N5" s="36">
        <v>2004</v>
      </c>
      <c r="O5" s="36">
        <v>6056.2</v>
      </c>
      <c r="P5" s="36">
        <v>2102.8999999999978</v>
      </c>
      <c r="Q5" s="39">
        <v>0</v>
      </c>
      <c r="R5" s="39">
        <v>0</v>
      </c>
      <c r="W5" s="39">
        <v>2004</v>
      </c>
      <c r="X5" s="36">
        <v>6679</v>
      </c>
      <c r="Y5" s="36">
        <v>6540.2</v>
      </c>
      <c r="Z5" s="39">
        <v>0</v>
      </c>
      <c r="AA5" s="39">
        <v>0</v>
      </c>
    </row>
    <row r="6" spans="4:27" x14ac:dyDescent="0.3">
      <c r="D6" s="34">
        <v>2005</v>
      </c>
      <c r="E6" s="34">
        <v>14087.4</v>
      </c>
      <c r="F6" s="34">
        <v>31407.8</v>
      </c>
      <c r="G6" s="41">
        <v>0</v>
      </c>
      <c r="H6" s="41">
        <v>0</v>
      </c>
      <c r="I6" s="5">
        <f t="shared" si="0"/>
        <v>-178.66882211612028</v>
      </c>
      <c r="J6" s="5">
        <f t="shared" ref="J6:J18" si="1">(I6-I5)^2</f>
        <v>52473.751727932307</v>
      </c>
      <c r="N6" s="36">
        <v>2005</v>
      </c>
      <c r="O6" s="36">
        <v>6631.1</v>
      </c>
      <c r="P6" s="36">
        <v>2002.7000000000007</v>
      </c>
      <c r="Q6" s="39">
        <v>0</v>
      </c>
      <c r="R6" s="39">
        <v>0</v>
      </c>
      <c r="W6" s="39">
        <v>2005</v>
      </c>
      <c r="X6" s="36">
        <v>6775.3</v>
      </c>
      <c r="Y6" s="36">
        <v>6679</v>
      </c>
      <c r="Z6" s="39">
        <v>0</v>
      </c>
      <c r="AA6" s="39">
        <v>0</v>
      </c>
    </row>
    <row r="7" spans="4:27" x14ac:dyDescent="0.3">
      <c r="D7" s="34">
        <v>2006</v>
      </c>
      <c r="E7" s="34">
        <v>15799.7</v>
      </c>
      <c r="F7" s="34">
        <v>33410.5</v>
      </c>
      <c r="G7" s="41">
        <v>0</v>
      </c>
      <c r="H7" s="41">
        <v>0</v>
      </c>
      <c r="I7" s="5">
        <f t="shared" si="0"/>
        <v>-148.00398373579628</v>
      </c>
      <c r="J7" s="5">
        <f t="shared" si="1"/>
        <v>940.33231289139178</v>
      </c>
      <c r="N7" s="36">
        <v>2006</v>
      </c>
      <c r="O7" s="36">
        <v>7806.4</v>
      </c>
      <c r="P7" s="36">
        <v>2724.0999999999985</v>
      </c>
      <c r="Q7" s="39">
        <v>0</v>
      </c>
      <c r="R7" s="39">
        <v>0</v>
      </c>
      <c r="W7" s="39">
        <v>2006</v>
      </c>
      <c r="X7" s="36">
        <v>6931.9</v>
      </c>
      <c r="Y7" s="36">
        <v>6775.3</v>
      </c>
      <c r="Z7" s="39">
        <v>0</v>
      </c>
      <c r="AA7" s="39">
        <v>0</v>
      </c>
    </row>
    <row r="8" spans="4:27" x14ac:dyDescent="0.3">
      <c r="D8" s="34">
        <v>2007</v>
      </c>
      <c r="E8" s="34">
        <v>18060.8</v>
      </c>
      <c r="F8" s="34">
        <v>36134.6</v>
      </c>
      <c r="G8" s="41">
        <v>0</v>
      </c>
      <c r="H8" s="41">
        <v>0</v>
      </c>
      <c r="I8" s="5">
        <f t="shared" si="0"/>
        <v>-174.28718829372156</v>
      </c>
      <c r="J8" s="5">
        <f t="shared" si="1"/>
        <v>690.80684183374387</v>
      </c>
      <c r="N8" s="36">
        <v>2007</v>
      </c>
      <c r="O8" s="36">
        <v>9526.5</v>
      </c>
      <c r="P8" s="36">
        <v>3084.0999999999985</v>
      </c>
      <c r="Q8" s="39">
        <v>0</v>
      </c>
      <c r="R8" s="39">
        <v>0</v>
      </c>
      <c r="W8" s="39">
        <v>2007</v>
      </c>
      <c r="X8" s="36">
        <v>7120.7</v>
      </c>
      <c r="Y8" s="36">
        <v>6931.9</v>
      </c>
      <c r="Z8" s="39">
        <v>0</v>
      </c>
      <c r="AA8" s="39">
        <v>0</v>
      </c>
    </row>
    <row r="9" spans="4:27" x14ac:dyDescent="0.3">
      <c r="D9" s="34">
        <v>2008</v>
      </c>
      <c r="E9" s="34">
        <v>19967</v>
      </c>
      <c r="F9" s="34">
        <v>39218.699999999997</v>
      </c>
      <c r="G9" s="41">
        <v>0</v>
      </c>
      <c r="H9" s="41">
        <v>0</v>
      </c>
      <c r="I9" s="5">
        <f t="shared" si="0"/>
        <v>-857.7566355155941</v>
      </c>
      <c r="J9" s="5">
        <f t="shared" si="1"/>
        <v>467130.48528577201</v>
      </c>
      <c r="N9" s="36">
        <v>2008</v>
      </c>
      <c r="O9" s="36">
        <v>10526.1</v>
      </c>
      <c r="P9" s="36">
        <v>2058.1000000000058</v>
      </c>
      <c r="Q9" s="39">
        <v>0</v>
      </c>
      <c r="R9" s="39">
        <v>0</v>
      </c>
      <c r="W9" s="39">
        <v>2008</v>
      </c>
      <c r="X9" s="36">
        <v>7359.9</v>
      </c>
      <c r="Y9" s="36">
        <v>7120.7</v>
      </c>
      <c r="Z9" s="39">
        <v>0</v>
      </c>
      <c r="AA9" s="39">
        <v>0</v>
      </c>
    </row>
    <row r="10" spans="4:27" x14ac:dyDescent="0.3">
      <c r="D10" s="34">
        <v>2009</v>
      </c>
      <c r="E10" s="41">
        <v>18946.599999999999</v>
      </c>
      <c r="F10" s="34">
        <v>41276.800000000003</v>
      </c>
      <c r="G10" s="41">
        <v>1</v>
      </c>
      <c r="H10" s="41">
        <v>0</v>
      </c>
      <c r="I10" s="5">
        <f t="shared" si="0"/>
        <v>0</v>
      </c>
      <c r="J10" s="5">
        <f t="shared" si="1"/>
        <v>735746.44577103178</v>
      </c>
      <c r="N10" s="36">
        <v>2009</v>
      </c>
      <c r="O10" s="36">
        <v>6209.8</v>
      </c>
      <c r="P10" s="36">
        <v>-3228.2000000000044</v>
      </c>
      <c r="Q10" s="39">
        <v>1</v>
      </c>
      <c r="R10" s="39">
        <v>0</v>
      </c>
      <c r="W10" s="39">
        <v>2009</v>
      </c>
      <c r="X10" s="36">
        <v>7314.5</v>
      </c>
      <c r="Y10" s="36">
        <v>7359.9</v>
      </c>
      <c r="Z10" s="39">
        <v>1</v>
      </c>
      <c r="AA10" s="39">
        <v>0</v>
      </c>
    </row>
    <row r="11" spans="4:27" x14ac:dyDescent="0.3">
      <c r="D11" s="34">
        <v>2010</v>
      </c>
      <c r="E11" s="34">
        <v>19993.8</v>
      </c>
      <c r="F11" s="34">
        <v>38048.6</v>
      </c>
      <c r="G11" s="41">
        <v>0</v>
      </c>
      <c r="H11" s="41">
        <v>0</v>
      </c>
      <c r="I11" s="5">
        <f t="shared" si="0"/>
        <v>151.55762154296463</v>
      </c>
      <c r="J11" s="5">
        <f t="shared" si="1"/>
        <v>22969.712647760494</v>
      </c>
      <c r="N11" s="36">
        <v>2010</v>
      </c>
      <c r="O11" s="36">
        <v>7982.2</v>
      </c>
      <c r="P11" s="36">
        <v>1713.5999999999985</v>
      </c>
      <c r="Q11" s="39">
        <v>0</v>
      </c>
      <c r="R11" s="39">
        <v>0</v>
      </c>
      <c r="W11" s="39">
        <v>2010</v>
      </c>
      <c r="X11" s="36">
        <v>7205.7</v>
      </c>
      <c r="Y11" s="36">
        <v>7314.5</v>
      </c>
      <c r="Z11" s="39">
        <v>0</v>
      </c>
      <c r="AA11" s="39">
        <v>0</v>
      </c>
    </row>
    <row r="12" spans="4:27" x14ac:dyDescent="0.3">
      <c r="D12" s="34">
        <v>2011</v>
      </c>
      <c r="E12" s="34">
        <v>21356.2</v>
      </c>
      <c r="F12" s="34">
        <v>39762.199999999997</v>
      </c>
      <c r="G12" s="41">
        <v>0</v>
      </c>
      <c r="H12" s="41">
        <v>0</v>
      </c>
      <c r="I12" s="5">
        <f t="shared" si="0"/>
        <v>75.075106462591066</v>
      </c>
      <c r="J12" s="5">
        <f t="shared" si="1"/>
        <v>5849.5751130195686</v>
      </c>
      <c r="N12" s="36">
        <v>2011</v>
      </c>
      <c r="O12" s="36">
        <v>9656.2999999999993</v>
      </c>
      <c r="P12" s="36">
        <v>1695.6000000000058</v>
      </c>
      <c r="Q12" s="39">
        <v>0</v>
      </c>
      <c r="R12" s="39">
        <v>0</v>
      </c>
      <c r="W12" s="39">
        <v>2011</v>
      </c>
      <c r="X12" s="36">
        <v>7306.7</v>
      </c>
      <c r="Y12" s="36">
        <v>7205.7</v>
      </c>
      <c r="Z12" s="39">
        <v>0</v>
      </c>
      <c r="AA12" s="39">
        <v>0</v>
      </c>
    </row>
    <row r="13" spans="4:27" x14ac:dyDescent="0.3">
      <c r="D13" s="34">
        <v>2012</v>
      </c>
      <c r="E13" s="35">
        <v>23053.8</v>
      </c>
      <c r="F13" s="34">
        <v>41457.800000000003</v>
      </c>
      <c r="G13" s="41">
        <v>0</v>
      </c>
      <c r="H13" s="41">
        <v>0</v>
      </c>
      <c r="I13" s="5">
        <f t="shared" si="0"/>
        <v>348.90690351539888</v>
      </c>
      <c r="J13" s="5">
        <f t="shared" si="1"/>
        <v>74983.853077170133</v>
      </c>
      <c r="N13" s="36">
        <v>2012</v>
      </c>
      <c r="O13" s="37">
        <v>10084.8629609</v>
      </c>
      <c r="P13" s="36">
        <v>1515.6999999999971</v>
      </c>
      <c r="Q13" s="39">
        <v>0</v>
      </c>
      <c r="R13" s="39">
        <v>0</v>
      </c>
      <c r="W13" s="39">
        <v>2012</v>
      </c>
      <c r="X13" s="37">
        <v>7498.7</v>
      </c>
      <c r="Y13" s="36">
        <v>7306.7</v>
      </c>
      <c r="Z13" s="39">
        <v>0</v>
      </c>
      <c r="AA13" s="39">
        <v>0</v>
      </c>
    </row>
    <row r="14" spans="4:27" x14ac:dyDescent="0.3">
      <c r="D14" s="34">
        <v>2013</v>
      </c>
      <c r="E14" s="35">
        <v>24263.159764191099</v>
      </c>
      <c r="F14" s="35">
        <v>42973.5</v>
      </c>
      <c r="G14" s="41">
        <v>0</v>
      </c>
      <c r="H14" s="41">
        <v>0</v>
      </c>
      <c r="I14" s="5">
        <f t="shared" si="0"/>
        <v>285.55761769055243</v>
      </c>
      <c r="J14" s="5">
        <f t="shared" si="1"/>
        <v>4013.1320145180912</v>
      </c>
      <c r="N14" s="36">
        <v>2013</v>
      </c>
      <c r="O14" s="37">
        <v>9525.0478595999994</v>
      </c>
      <c r="P14" s="36">
        <v>767.20411147509731</v>
      </c>
      <c r="Q14" s="39">
        <v>0</v>
      </c>
      <c r="R14" s="39">
        <v>0</v>
      </c>
      <c r="W14" s="39">
        <v>2013</v>
      </c>
      <c r="X14" s="37">
        <v>7562.6711761688503</v>
      </c>
      <c r="Y14" s="37">
        <v>7498.7</v>
      </c>
      <c r="Z14" s="39">
        <v>0</v>
      </c>
      <c r="AA14" s="39">
        <v>0</v>
      </c>
    </row>
    <row r="15" spans="4:27" x14ac:dyDescent="0.3">
      <c r="D15" s="34">
        <v>2014</v>
      </c>
      <c r="E15" s="35">
        <v>24736.3708425324</v>
      </c>
      <c r="F15" s="35">
        <v>43740.704111475097</v>
      </c>
      <c r="G15" s="41">
        <v>0</v>
      </c>
      <c r="H15" s="41">
        <v>0</v>
      </c>
      <c r="I15" s="5">
        <f t="shared" si="0"/>
        <v>114.55967321480421</v>
      </c>
      <c r="J15" s="5">
        <f t="shared" si="1"/>
        <v>29240.297014931075</v>
      </c>
      <c r="N15" s="36">
        <v>2014</v>
      </c>
      <c r="O15" s="37">
        <v>8947.7364885999996</v>
      </c>
      <c r="P15" s="36">
        <v>323.09334284420038</v>
      </c>
      <c r="Q15" s="39">
        <v>0</v>
      </c>
      <c r="R15" s="39">
        <v>0</v>
      </c>
      <c r="W15" s="39">
        <v>2014</v>
      </c>
      <c r="X15" s="37">
        <v>7401.9951260520202</v>
      </c>
      <c r="Y15" s="37">
        <v>7562.6711761688503</v>
      </c>
      <c r="Z15" s="39">
        <v>0</v>
      </c>
      <c r="AA15" s="39">
        <v>0</v>
      </c>
    </row>
    <row r="16" spans="4:27" x14ac:dyDescent="0.3">
      <c r="D16" s="34">
        <v>2015</v>
      </c>
      <c r="E16" s="35">
        <v>22418.535331585401</v>
      </c>
      <c r="F16" s="35">
        <v>44063.797454319298</v>
      </c>
      <c r="G16" s="41">
        <v>0</v>
      </c>
      <c r="H16" s="41">
        <v>1</v>
      </c>
      <c r="I16" s="5">
        <f t="shared" si="0"/>
        <v>-465.42174335820891</v>
      </c>
      <c r="J16" s="5">
        <f t="shared" si="1"/>
        <v>336378.443570039</v>
      </c>
      <c r="N16" s="36">
        <v>2015</v>
      </c>
      <c r="O16" s="37">
        <v>7848.3547778999991</v>
      </c>
      <c r="P16" s="36">
        <v>-1118.5164172023942</v>
      </c>
      <c r="Q16" s="39">
        <v>0</v>
      </c>
      <c r="R16" s="39">
        <v>1</v>
      </c>
      <c r="W16" s="39">
        <v>2015</v>
      </c>
      <c r="X16" s="37">
        <v>7170.7326642855796</v>
      </c>
      <c r="Y16" s="37">
        <v>7401.9951260520202</v>
      </c>
      <c r="Z16" s="39">
        <v>0</v>
      </c>
      <c r="AA16" s="39">
        <v>1</v>
      </c>
    </row>
    <row r="17" spans="4:30" x14ac:dyDescent="0.3">
      <c r="D17" s="34">
        <v>2016</v>
      </c>
      <c r="E17" s="35">
        <v>21780.763210474499</v>
      </c>
      <c r="F17" s="35">
        <v>42945.281037116903</v>
      </c>
      <c r="G17" s="41">
        <v>0</v>
      </c>
      <c r="H17" s="41">
        <v>1</v>
      </c>
      <c r="I17" s="5">
        <f t="shared" si="0"/>
        <v>-163.99351693008066</v>
      </c>
      <c r="J17" s="5">
        <f t="shared" si="1"/>
        <v>90858.975687606959</v>
      </c>
      <c r="N17" s="36">
        <v>2016</v>
      </c>
      <c r="O17" s="37">
        <v>7700.6521864999995</v>
      </c>
      <c r="P17" s="36">
        <v>-74.136786629605922</v>
      </c>
      <c r="Q17" s="39">
        <v>0</v>
      </c>
      <c r="R17" s="39">
        <v>1</v>
      </c>
      <c r="W17" s="39">
        <v>2016</v>
      </c>
      <c r="X17" s="37">
        <v>7238.2651898854401</v>
      </c>
      <c r="Y17" s="37">
        <v>7170.7326642855796</v>
      </c>
      <c r="Z17" s="39">
        <v>0</v>
      </c>
      <c r="AA17" s="39">
        <v>1</v>
      </c>
    </row>
    <row r="18" spans="4:30" x14ac:dyDescent="0.3">
      <c r="D18" s="34">
        <v>2017</v>
      </c>
      <c r="E18" s="35">
        <v>22511.920513599998</v>
      </c>
      <c r="F18" s="35">
        <v>42871.144250487298</v>
      </c>
      <c r="G18" s="41">
        <v>0</v>
      </c>
      <c r="H18" s="41">
        <v>1</v>
      </c>
      <c r="I18" s="5">
        <f t="shared" si="0"/>
        <v>629.41526028831504</v>
      </c>
      <c r="J18" s="5">
        <f t="shared" si="1"/>
        <v>629497.48776718986</v>
      </c>
      <c r="N18" s="36">
        <v>2017</v>
      </c>
      <c r="O18" s="37">
        <v>8269.5079999999998</v>
      </c>
      <c r="P18" s="36">
        <v>662.60573864770413</v>
      </c>
      <c r="Q18" s="39">
        <v>0</v>
      </c>
      <c r="R18" s="39">
        <v>1</v>
      </c>
      <c r="W18" s="39">
        <v>2017</v>
      </c>
      <c r="X18" s="37">
        <v>7264.2719268000001</v>
      </c>
      <c r="Y18" s="37">
        <v>7238.2651898854401</v>
      </c>
      <c r="Z18" s="39">
        <v>0</v>
      </c>
      <c r="AA18" s="39">
        <v>1</v>
      </c>
    </row>
    <row r="19" spans="4:30" ht="15" thickBot="1" x14ac:dyDescent="0.35">
      <c r="I19" s="67" t="s">
        <v>60</v>
      </c>
      <c r="J19" s="43">
        <f>SUM(J5:J18)</f>
        <v>2530440.8187009636</v>
      </c>
    </row>
    <row r="20" spans="4:30" ht="15.6" thickTop="1" thickBot="1" x14ac:dyDescent="0.35">
      <c r="E20" s="46" t="s">
        <v>33</v>
      </c>
      <c r="F20" s="46" t="s">
        <v>34</v>
      </c>
      <c r="G20" s="46" t="s">
        <v>35</v>
      </c>
      <c r="H20" s="46" t="s">
        <v>36</v>
      </c>
      <c r="O20" s="46" t="s">
        <v>45</v>
      </c>
      <c r="P20" s="46" t="s">
        <v>40</v>
      </c>
      <c r="Q20" s="46" t="s">
        <v>41</v>
      </c>
      <c r="R20" s="46" t="s">
        <v>42</v>
      </c>
      <c r="W20" s="46" t="s">
        <v>70</v>
      </c>
      <c r="X20" s="46" t="s">
        <v>43</v>
      </c>
      <c r="Y20" s="46" t="s">
        <v>44</v>
      </c>
    </row>
    <row r="21" spans="4:30" ht="15.6" thickTop="1" thickBot="1" x14ac:dyDescent="0.35">
      <c r="E21" s="43">
        <f t="array" ref="E21:H25">LINEST(E4:E18,F4:H18,1,1)</f>
        <v>-2009.1504072576204</v>
      </c>
      <c r="F21" s="43">
        <v>-3606.3102911452356</v>
      </c>
      <c r="G21" s="43">
        <v>0.83968400739984861</v>
      </c>
      <c r="H21" s="43">
        <v>-12106.558545496844</v>
      </c>
      <c r="J21" s="69" t="s">
        <v>61</v>
      </c>
      <c r="K21" s="43">
        <f>J19/F25</f>
        <v>1.3920077824112937</v>
      </c>
      <c r="O21" s="43">
        <f t="array" ref="O21:R25">LINEST(O4:O18,P4:R18,1,1)</f>
        <v>-1059.8243566446686</v>
      </c>
      <c r="P21" s="43">
        <v>-3743.4450845148281</v>
      </c>
      <c r="Q21" s="43">
        <v>-0.31260372457604635</v>
      </c>
      <c r="R21" s="43">
        <v>8944.0977408384333</v>
      </c>
      <c r="W21" s="43">
        <f t="array" ref="W21:Y25">LINEST(X4:X18,Y4:AA18,0,1)</f>
        <v>-141.20014024193026</v>
      </c>
      <c r="X21" s="43">
        <v>-141.86639033044486</v>
      </c>
      <c r="Y21" s="44">
        <v>1.0131070245968619</v>
      </c>
      <c r="Z21" s="45"/>
    </row>
    <row r="22" spans="4:30" ht="15.6" thickTop="1" thickBot="1" x14ac:dyDescent="0.35">
      <c r="E22" s="58">
        <v>306.16646073646712</v>
      </c>
      <c r="F22" s="58">
        <v>437.94240852767524</v>
      </c>
      <c r="G22" s="58">
        <v>2.3018906433872478E-2</v>
      </c>
      <c r="H22" s="58">
        <v>851.71672124659347</v>
      </c>
      <c r="J22" s="69" t="s">
        <v>67</v>
      </c>
      <c r="K22" s="43">
        <f>_xlfn.F.INV(0.95,3,11)</f>
        <v>3.5874337024204941</v>
      </c>
      <c r="O22" s="58">
        <v>1584.7886693038204</v>
      </c>
      <c r="P22" s="58">
        <v>3427.5468118762046</v>
      </c>
      <c r="Q22" s="58">
        <v>0.58928057832505754</v>
      </c>
      <c r="R22" s="58">
        <v>1178.2318294271333</v>
      </c>
      <c r="W22" s="58">
        <v>88.015840747038169</v>
      </c>
      <c r="X22" s="58">
        <v>140.68530636448227</v>
      </c>
      <c r="Y22" s="60">
        <v>5.7467663531035442E-3</v>
      </c>
      <c r="Z22" s="45"/>
      <c r="AA22" s="69" t="s">
        <v>67</v>
      </c>
      <c r="AB22" s="43">
        <f>_xlfn.F.INV(0.95,3,12)</f>
        <v>3.4902948194976031</v>
      </c>
    </row>
    <row r="23" spans="4:30" ht="17.399999999999999" thickTop="1" thickBot="1" x14ac:dyDescent="0.35">
      <c r="D23" s="69" t="s">
        <v>68</v>
      </c>
      <c r="E23" s="58">
        <v>0.99279877126980542</v>
      </c>
      <c r="F23" s="43">
        <v>406.51906502949629</v>
      </c>
      <c r="G23" s="58" t="e">
        <v>#N/A</v>
      </c>
      <c r="H23" s="58" t="e">
        <v>#N/A</v>
      </c>
      <c r="O23" s="59">
        <v>0.15075191457235024</v>
      </c>
      <c r="P23" s="59">
        <v>1633.6540202456085</v>
      </c>
      <c r="Q23" s="58" t="e">
        <v>#N/A</v>
      </c>
      <c r="R23" s="58" t="e">
        <v>#N/A</v>
      </c>
      <c r="V23" s="69" t="s">
        <v>68</v>
      </c>
      <c r="W23" s="59">
        <v>0.99971936106016668</v>
      </c>
      <c r="X23" s="43">
        <v>134.17688129860107</v>
      </c>
      <c r="Y23" s="60" t="e">
        <v>#N/A</v>
      </c>
      <c r="Z23" s="45"/>
    </row>
    <row r="24" spans="4:30" ht="15.6" thickTop="1" thickBot="1" x14ac:dyDescent="0.35">
      <c r="D24" s="69" t="s">
        <v>66</v>
      </c>
      <c r="E24" s="59">
        <v>505.50569877875176</v>
      </c>
      <c r="F24" s="59">
        <v>11</v>
      </c>
      <c r="G24" s="58" t="e">
        <v>#N/A</v>
      </c>
      <c r="H24" s="58" t="e">
        <v>#N/A</v>
      </c>
      <c r="O24" s="58">
        <v>0.65087814689658041</v>
      </c>
      <c r="P24" s="58">
        <v>11</v>
      </c>
      <c r="Q24" s="58" t="e">
        <v>#N/A</v>
      </c>
      <c r="R24" s="58" t="e">
        <v>#N/A</v>
      </c>
      <c r="V24" s="69" t="s">
        <v>66</v>
      </c>
      <c r="W24" s="59">
        <v>14249.189533767762</v>
      </c>
      <c r="X24" s="59">
        <v>12</v>
      </c>
      <c r="Y24" s="60" t="e">
        <v>#N/A</v>
      </c>
      <c r="Z24" s="45"/>
    </row>
    <row r="25" spans="4:30" ht="15" thickTop="1" x14ac:dyDescent="0.3">
      <c r="E25" s="58">
        <v>250616203.52958608</v>
      </c>
      <c r="F25" s="59">
        <v>1817835.2525570143</v>
      </c>
      <c r="G25" s="58" t="e">
        <v>#N/A</v>
      </c>
      <c r="H25" s="58" t="e">
        <v>#N/A</v>
      </c>
      <c r="O25" s="58">
        <v>5211240.5052160621</v>
      </c>
      <c r="P25" s="59">
        <v>29357080.036511026</v>
      </c>
      <c r="Q25" s="58" t="e">
        <v>#N/A</v>
      </c>
      <c r="R25" s="58" t="e">
        <v>#N/A</v>
      </c>
      <c r="W25" s="58">
        <v>769603093.02750671</v>
      </c>
      <c r="X25" s="58">
        <v>216041.22570022655</v>
      </c>
      <c r="Y25" s="60" t="e">
        <v>#N/A</v>
      </c>
      <c r="Z25" s="45"/>
    </row>
    <row r="26" spans="4:30" ht="15.6" x14ac:dyDescent="0.35">
      <c r="K26" s="71" t="s">
        <v>74</v>
      </c>
      <c r="L26" s="72" t="s">
        <v>72</v>
      </c>
      <c r="M26" s="72" t="s">
        <v>75</v>
      </c>
    </row>
    <row r="27" spans="4:30" ht="17.399999999999999" thickBot="1" x14ac:dyDescent="0.4">
      <c r="I27" s="5" t="s">
        <v>73</v>
      </c>
      <c r="J27" s="5">
        <v>1</v>
      </c>
      <c r="K27" s="8">
        <v>43533.749989135002</v>
      </c>
      <c r="L27" s="5">
        <v>0</v>
      </c>
      <c r="M27" s="5">
        <v>1</v>
      </c>
    </row>
    <row r="28" spans="4:30" ht="18" thickTop="1" thickBot="1" x14ac:dyDescent="0.4">
      <c r="I28" s="46" t="s">
        <v>76</v>
      </c>
      <c r="J28" s="43">
        <f>H21+G21*K27+F21*L27+E21*M27</f>
        <v>22438.884695265529</v>
      </c>
    </row>
    <row r="29" spans="4:30" ht="16.8" thickTop="1" thickBot="1" x14ac:dyDescent="0.4">
      <c r="I29" s="46" t="s">
        <v>77</v>
      </c>
      <c r="J29" s="43">
        <v>23010</v>
      </c>
    </row>
    <row r="30" spans="4:30" ht="15" thickTop="1" x14ac:dyDescent="0.3"/>
    <row r="31" spans="4:30" ht="16.2" x14ac:dyDescent="0.3">
      <c r="I31" t="s">
        <v>78</v>
      </c>
      <c r="J31" s="5">
        <v>1</v>
      </c>
      <c r="K31" s="34">
        <v>27312.3</v>
      </c>
      <c r="L31" s="41">
        <v>0</v>
      </c>
      <c r="M31" s="41">
        <v>0</v>
      </c>
      <c r="O31" t="s">
        <v>79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</row>
    <row r="32" spans="4:30" x14ac:dyDescent="0.3">
      <c r="J32" s="5">
        <v>1</v>
      </c>
      <c r="K32" s="34">
        <v>29304.9</v>
      </c>
      <c r="L32" s="41">
        <v>0</v>
      </c>
      <c r="M32" s="41">
        <v>0</v>
      </c>
      <c r="P32" s="34">
        <v>27312.3</v>
      </c>
      <c r="Q32" s="34">
        <v>29304.9</v>
      </c>
      <c r="R32" s="34">
        <v>31407.8</v>
      </c>
      <c r="S32" s="34">
        <v>33410.5</v>
      </c>
      <c r="T32" s="34">
        <v>36134.6</v>
      </c>
      <c r="U32" s="34">
        <v>39218.699999999997</v>
      </c>
      <c r="V32" s="34">
        <v>41276.800000000003</v>
      </c>
      <c r="W32" s="34">
        <v>38048.6</v>
      </c>
      <c r="X32" s="34">
        <v>39762.199999999997</v>
      </c>
      <c r="Y32" s="34">
        <v>41457.800000000003</v>
      </c>
      <c r="Z32" s="35">
        <v>42973.5</v>
      </c>
      <c r="AA32" s="35">
        <v>43740.704111475097</v>
      </c>
      <c r="AB32" s="35">
        <v>44063.797454319298</v>
      </c>
      <c r="AC32" s="35">
        <v>42945.281037116903</v>
      </c>
      <c r="AD32" s="35">
        <v>42871.144250487298</v>
      </c>
    </row>
    <row r="33" spans="10:30" x14ac:dyDescent="0.3">
      <c r="J33" s="5">
        <v>1</v>
      </c>
      <c r="K33" s="34">
        <v>31407.8</v>
      </c>
      <c r="L33" s="41">
        <v>0</v>
      </c>
      <c r="M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0</v>
      </c>
      <c r="V33" s="41">
        <v>1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</row>
    <row r="34" spans="10:30" x14ac:dyDescent="0.3">
      <c r="J34" s="5">
        <v>1</v>
      </c>
      <c r="K34" s="34">
        <v>33410.5</v>
      </c>
      <c r="L34" s="41">
        <v>0</v>
      </c>
      <c r="M34" s="41">
        <v>0</v>
      </c>
      <c r="P34" s="41">
        <v>0</v>
      </c>
      <c r="Q34" s="41">
        <v>0</v>
      </c>
      <c r="R34" s="41">
        <v>0</v>
      </c>
      <c r="S34" s="41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41">
        <v>0</v>
      </c>
      <c r="Z34" s="41">
        <v>0</v>
      </c>
      <c r="AA34" s="41">
        <v>0</v>
      </c>
      <c r="AB34" s="41">
        <v>1</v>
      </c>
      <c r="AC34" s="41">
        <v>1</v>
      </c>
      <c r="AD34" s="41">
        <v>1</v>
      </c>
    </row>
    <row r="35" spans="10:30" x14ac:dyDescent="0.3">
      <c r="J35" s="5">
        <v>1</v>
      </c>
      <c r="K35" s="34">
        <v>36134.6</v>
      </c>
      <c r="L35" s="41">
        <v>0</v>
      </c>
      <c r="M35" s="41">
        <v>0</v>
      </c>
    </row>
    <row r="36" spans="10:30" x14ac:dyDescent="0.3">
      <c r="J36" s="5">
        <v>1</v>
      </c>
      <c r="K36" s="34">
        <v>39218.699999999997</v>
      </c>
      <c r="L36" s="41">
        <v>0</v>
      </c>
      <c r="M36" s="41">
        <v>0</v>
      </c>
    </row>
    <row r="37" spans="10:30" x14ac:dyDescent="0.3">
      <c r="J37" s="5">
        <v>1</v>
      </c>
      <c r="K37" s="34">
        <v>41276.800000000003</v>
      </c>
      <c r="L37" s="41">
        <v>1</v>
      </c>
      <c r="M37" s="41">
        <v>0</v>
      </c>
    </row>
    <row r="38" spans="10:30" ht="16.2" x14ac:dyDescent="0.3">
      <c r="J38" s="5">
        <v>1</v>
      </c>
      <c r="K38" s="34">
        <v>38048.6</v>
      </c>
      <c r="L38" s="41">
        <v>0</v>
      </c>
      <c r="M38" s="41">
        <v>0</v>
      </c>
      <c r="O38">
        <v>2</v>
      </c>
      <c r="P38" s="75" t="s">
        <v>83</v>
      </c>
      <c r="Q38" s="5">
        <f t="array" ref="Q38:T41">MMULT(P31:AD34,J31:M45)</f>
        <v>15</v>
      </c>
      <c r="R38" s="5">
        <v>573928.62685339863</v>
      </c>
      <c r="S38" s="5">
        <v>1</v>
      </c>
      <c r="T38" s="5">
        <v>3</v>
      </c>
      <c r="U38">
        <v>3</v>
      </c>
      <c r="V38" s="74" t="s">
        <v>80</v>
      </c>
      <c r="W38" s="5">
        <f t="array" ref="W38:Z41">MINVERSE(Q38:T41)</f>
        <v>4.3896360214916834</v>
      </c>
      <c r="X38" s="5">
        <v>-1.1740151429176014E-4</v>
      </c>
      <c r="Y38" s="5">
        <v>0.45632280362644329</v>
      </c>
      <c r="Z38" s="5">
        <v>0.6930755873259582</v>
      </c>
    </row>
    <row r="39" spans="10:30" x14ac:dyDescent="0.3">
      <c r="J39" s="5">
        <v>1</v>
      </c>
      <c r="K39" s="34">
        <v>39762.199999999997</v>
      </c>
      <c r="L39" s="41">
        <v>0</v>
      </c>
      <c r="M39" s="41">
        <v>0</v>
      </c>
      <c r="Q39" s="5">
        <v>573928.62685339863</v>
      </c>
      <c r="R39" s="5">
        <v>22386339280.33593</v>
      </c>
      <c r="S39" s="5">
        <v>41276.800000000003</v>
      </c>
      <c r="T39" s="5">
        <v>129880.2227419235</v>
      </c>
      <c r="W39" s="5">
        <v>-1.1740151429176016E-4</v>
      </c>
      <c r="X39" s="5">
        <v>3.206324984250717E-9</v>
      </c>
      <c r="Y39" s="5">
        <v>-1.4945320818159871E-5</v>
      </c>
      <c r="Z39" s="5">
        <v>-2.1411220087399012E-5</v>
      </c>
    </row>
    <row r="40" spans="10:30" x14ac:dyDescent="0.3">
      <c r="J40" s="5">
        <v>1</v>
      </c>
      <c r="K40" s="34">
        <v>41457.800000000003</v>
      </c>
      <c r="L40" s="41">
        <v>0</v>
      </c>
      <c r="M40" s="41">
        <v>0</v>
      </c>
      <c r="Q40" s="5">
        <v>1</v>
      </c>
      <c r="R40" s="5">
        <v>41276.800000000003</v>
      </c>
      <c r="S40" s="5">
        <v>1</v>
      </c>
      <c r="T40" s="5">
        <v>0</v>
      </c>
      <c r="W40" s="5">
        <v>0.45632280362644279</v>
      </c>
      <c r="X40" s="5">
        <v>-1.4945320818159861E-5</v>
      </c>
      <c r="Y40" s="5">
        <v>1.1605722147205781</v>
      </c>
      <c r="Z40" s="5">
        <v>0.19071106197759349</v>
      </c>
    </row>
    <row r="41" spans="10:30" x14ac:dyDescent="0.3">
      <c r="J41" s="5">
        <v>1</v>
      </c>
      <c r="K41" s="35">
        <v>42973.5</v>
      </c>
      <c r="L41" s="41">
        <v>0</v>
      </c>
      <c r="M41" s="41">
        <v>0</v>
      </c>
      <c r="Q41" s="5">
        <v>3</v>
      </c>
      <c r="R41" s="5">
        <v>129880.2227419235</v>
      </c>
      <c r="S41" s="5">
        <v>0</v>
      </c>
      <c r="T41" s="5">
        <v>3</v>
      </c>
      <c r="W41" s="5">
        <v>0.69307558732595831</v>
      </c>
      <c r="X41" s="5">
        <v>-2.1411220087399018E-5</v>
      </c>
      <c r="Y41" s="5">
        <v>0.19071106197759358</v>
      </c>
      <c r="Z41" s="5">
        <v>0.56722242404995205</v>
      </c>
    </row>
    <row r="42" spans="10:30" x14ac:dyDescent="0.3">
      <c r="J42" s="5">
        <v>1</v>
      </c>
      <c r="K42" s="35">
        <v>43740.704111475097</v>
      </c>
      <c r="L42" s="41">
        <v>0</v>
      </c>
      <c r="M42" s="41">
        <v>0</v>
      </c>
    </row>
    <row r="43" spans="10:30" x14ac:dyDescent="0.3">
      <c r="J43" s="5">
        <v>1</v>
      </c>
      <c r="K43" s="35">
        <v>44063.797454319298</v>
      </c>
      <c r="L43" s="41">
        <v>0</v>
      </c>
      <c r="M43" s="41">
        <v>1</v>
      </c>
    </row>
    <row r="44" spans="10:30" ht="16.8" x14ac:dyDescent="0.35">
      <c r="J44" s="5">
        <v>1</v>
      </c>
      <c r="K44" s="35">
        <v>42945.281037116903</v>
      </c>
      <c r="L44" s="41">
        <v>0</v>
      </c>
      <c r="M44" s="41">
        <v>1</v>
      </c>
      <c r="P44">
        <v>4</v>
      </c>
      <c r="Q44" s="74" t="s">
        <v>84</v>
      </c>
      <c r="R44" s="5">
        <v>1</v>
      </c>
      <c r="T44" s="74" t="s">
        <v>82</v>
      </c>
      <c r="U44" s="5">
        <f t="array" ref="U44:X44">MMULT(J27:M27,W38:Z41)</f>
        <v>-2.8216562705705273E-2</v>
      </c>
      <c r="V44" s="5">
        <v>7.7061586912877415E-7</v>
      </c>
      <c r="W44" s="5">
        <v>-3.5919944011495453E-3</v>
      </c>
      <c r="X44" s="5">
        <v>0.32818730912873639</v>
      </c>
    </row>
    <row r="45" spans="10:30" x14ac:dyDescent="0.3">
      <c r="J45" s="5">
        <v>1</v>
      </c>
      <c r="K45" s="35">
        <v>42871.144250487298</v>
      </c>
      <c r="L45" s="41">
        <v>0</v>
      </c>
      <c r="M45" s="41">
        <v>1</v>
      </c>
      <c r="R45" s="8">
        <v>43533.749989135002</v>
      </c>
    </row>
    <row r="46" spans="10:30" ht="15.6" x14ac:dyDescent="0.35">
      <c r="R46" s="5">
        <v>0</v>
      </c>
      <c r="T46" s="74" t="s">
        <v>81</v>
      </c>
      <c r="U46" s="5">
        <f>MMULT(U44:X44,R44:R47)</f>
        <v>0.33351854500734313</v>
      </c>
    </row>
    <row r="47" spans="10:30" x14ac:dyDescent="0.3">
      <c r="R47" s="5">
        <v>1</v>
      </c>
    </row>
    <row r="49" spans="16:18" ht="16.8" x14ac:dyDescent="0.35">
      <c r="P49">
        <v>5</v>
      </c>
      <c r="Q49" s="73" t="s">
        <v>85</v>
      </c>
      <c r="R49">
        <f>F23*SQRT(1 + U46)</f>
        <v>469.44038454437577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135-2C15-44D8-A129-EA217BA6B135}">
  <dimension ref="D3:AJ32"/>
  <sheetViews>
    <sheetView topLeftCell="S13" workbookViewId="0">
      <selection activeCell="AJ22" sqref="AJ22"/>
    </sheetView>
  </sheetViews>
  <sheetFormatPr defaultRowHeight="14.4" x14ac:dyDescent="0.3"/>
  <cols>
    <col min="18" max="18" width="12.6640625" bestFit="1" customWidth="1"/>
  </cols>
  <sheetData>
    <row r="3" spans="4:34" ht="16.2" x14ac:dyDescent="0.3">
      <c r="D3" s="40" t="s">
        <v>15</v>
      </c>
      <c r="E3" s="40" t="s">
        <v>29</v>
      </c>
      <c r="F3" s="40" t="s">
        <v>32</v>
      </c>
      <c r="G3" s="40" t="s">
        <v>30</v>
      </c>
      <c r="H3" s="40" t="s">
        <v>31</v>
      </c>
      <c r="I3" s="40" t="s">
        <v>58</v>
      </c>
      <c r="J3" s="40" t="s">
        <v>59</v>
      </c>
      <c r="P3" s="38" t="s">
        <v>15</v>
      </c>
      <c r="Q3" s="38" t="s">
        <v>37</v>
      </c>
      <c r="R3" s="38" t="s">
        <v>38</v>
      </c>
      <c r="S3" s="40" t="s">
        <v>30</v>
      </c>
      <c r="T3" s="40" t="s">
        <v>31</v>
      </c>
      <c r="AD3" s="38" t="s">
        <v>15</v>
      </c>
      <c r="AE3" s="38" t="s">
        <v>16</v>
      </c>
      <c r="AF3" s="38" t="s">
        <v>17</v>
      </c>
      <c r="AG3" s="38" t="s">
        <v>30</v>
      </c>
      <c r="AH3" s="38" t="s">
        <v>31</v>
      </c>
    </row>
    <row r="4" spans="4:34" x14ac:dyDescent="0.3">
      <c r="D4" s="34">
        <v>2003</v>
      </c>
      <c r="E4" s="34">
        <v>11159.8</v>
      </c>
      <c r="F4" s="34">
        <v>27312.3</v>
      </c>
      <c r="G4" s="41">
        <v>0</v>
      </c>
      <c r="H4" s="41">
        <v>0</v>
      </c>
      <c r="I4" s="5">
        <f>E4-($H$21+$G$21*F4+$F$21*G4+$E$21*H4)</f>
        <v>332.65703018995737</v>
      </c>
      <c r="P4" s="36">
        <v>2004</v>
      </c>
      <c r="Q4" s="36">
        <v>6056.2</v>
      </c>
      <c r="R4" s="5">
        <v>1992.6000000000022</v>
      </c>
      <c r="S4" s="39">
        <v>0</v>
      </c>
      <c r="T4" s="39">
        <v>0</v>
      </c>
      <c r="AD4" s="39">
        <v>2003</v>
      </c>
      <c r="AE4" s="36">
        <v>6540.2</v>
      </c>
      <c r="AF4" s="36">
        <v>6390</v>
      </c>
      <c r="AG4" s="39">
        <v>0</v>
      </c>
      <c r="AH4" s="39">
        <v>0</v>
      </c>
    </row>
    <row r="5" spans="4:34" x14ac:dyDescent="0.3">
      <c r="D5" s="34">
        <v>2004</v>
      </c>
      <c r="E5" s="34">
        <v>12550.7</v>
      </c>
      <c r="F5" s="34">
        <v>29304.9</v>
      </c>
      <c r="G5" s="41">
        <v>0</v>
      </c>
      <c r="H5" s="41">
        <v>0</v>
      </c>
      <c r="I5" s="5">
        <f t="shared" ref="I5:I18" si="0">E5-($H$21+$G$21*F5+$F$21*G5+$E$21*H5)</f>
        <v>50.402677045020027</v>
      </c>
      <c r="J5" s="5">
        <f>(I5-I4)^2</f>
        <v>79667.519869266995</v>
      </c>
      <c r="P5" s="36">
        <v>2005</v>
      </c>
      <c r="Q5" s="36">
        <v>6631.1</v>
      </c>
      <c r="R5" s="5">
        <v>2102.8999999999978</v>
      </c>
      <c r="S5" s="39">
        <v>0</v>
      </c>
      <c r="T5" s="39">
        <v>0</v>
      </c>
      <c r="AD5" s="39">
        <v>2004</v>
      </c>
      <c r="AE5" s="36">
        <v>6679</v>
      </c>
      <c r="AF5" s="36">
        <v>6540.2</v>
      </c>
      <c r="AG5" s="39">
        <v>0</v>
      </c>
      <c r="AH5" s="39">
        <v>0</v>
      </c>
    </row>
    <row r="6" spans="4:34" x14ac:dyDescent="0.3">
      <c r="D6" s="34">
        <v>2005</v>
      </c>
      <c r="E6" s="34">
        <v>14087.4</v>
      </c>
      <c r="F6" s="34">
        <v>31407.8</v>
      </c>
      <c r="G6" s="41">
        <v>0</v>
      </c>
      <c r="H6" s="41">
        <v>0</v>
      </c>
      <c r="I6" s="5">
        <f t="shared" si="0"/>
        <v>-178.66882211612028</v>
      </c>
      <c r="J6" s="5">
        <f t="shared" ref="J6:J18" si="1">(I6-I5)^2</f>
        <v>52473.751727932307</v>
      </c>
      <c r="P6" s="36">
        <v>2006</v>
      </c>
      <c r="Q6" s="36">
        <v>7806.4</v>
      </c>
      <c r="R6" s="5">
        <v>2002.7000000000007</v>
      </c>
      <c r="S6" s="39">
        <v>0</v>
      </c>
      <c r="T6" s="39">
        <v>0</v>
      </c>
      <c r="AD6" s="39">
        <v>2005</v>
      </c>
      <c r="AE6" s="36">
        <v>6775.3</v>
      </c>
      <c r="AF6" s="36">
        <v>6679</v>
      </c>
      <c r="AG6" s="39">
        <v>0</v>
      </c>
      <c r="AH6" s="39">
        <v>0</v>
      </c>
    </row>
    <row r="7" spans="4:34" x14ac:dyDescent="0.3">
      <c r="D7" s="34">
        <v>2006</v>
      </c>
      <c r="E7" s="34">
        <v>15799.7</v>
      </c>
      <c r="F7" s="34">
        <v>33410.5</v>
      </c>
      <c r="G7" s="41">
        <v>0</v>
      </c>
      <c r="H7" s="41">
        <v>0</v>
      </c>
      <c r="I7" s="5">
        <f t="shared" si="0"/>
        <v>-148.00398373579628</v>
      </c>
      <c r="J7" s="5">
        <f t="shared" si="1"/>
        <v>940.33231289139178</v>
      </c>
      <c r="P7" s="36">
        <v>2007</v>
      </c>
      <c r="Q7" s="36">
        <v>9526.5</v>
      </c>
      <c r="R7" s="5">
        <v>2724.0999999999985</v>
      </c>
      <c r="S7" s="39">
        <v>0</v>
      </c>
      <c r="T7" s="39">
        <v>0</v>
      </c>
      <c r="AD7" s="39">
        <v>2006</v>
      </c>
      <c r="AE7" s="36">
        <v>6931.9</v>
      </c>
      <c r="AF7" s="36">
        <v>6775.3</v>
      </c>
      <c r="AG7" s="39">
        <v>0</v>
      </c>
      <c r="AH7" s="39">
        <v>0</v>
      </c>
    </row>
    <row r="8" spans="4:34" x14ac:dyDescent="0.3">
      <c r="D8" s="34">
        <v>2007</v>
      </c>
      <c r="E8" s="34">
        <v>18060.8</v>
      </c>
      <c r="F8" s="34">
        <v>36134.6</v>
      </c>
      <c r="G8" s="41">
        <v>0</v>
      </c>
      <c r="H8" s="41">
        <v>0</v>
      </c>
      <c r="I8" s="5">
        <f t="shared" si="0"/>
        <v>-174.28718829372156</v>
      </c>
      <c r="J8" s="5">
        <f t="shared" si="1"/>
        <v>690.80684183374387</v>
      </c>
      <c r="P8" s="36">
        <v>2008</v>
      </c>
      <c r="Q8" s="36">
        <v>10526.1</v>
      </c>
      <c r="R8" s="5">
        <v>3084.0999999999985</v>
      </c>
      <c r="S8" s="39">
        <v>0</v>
      </c>
      <c r="T8" s="39">
        <v>0</v>
      </c>
      <c r="AD8" s="39">
        <v>2007</v>
      </c>
      <c r="AE8" s="36">
        <v>7120.7</v>
      </c>
      <c r="AF8" s="36">
        <v>6931.9</v>
      </c>
      <c r="AG8" s="39">
        <v>0</v>
      </c>
      <c r="AH8" s="39">
        <v>0</v>
      </c>
    </row>
    <row r="9" spans="4:34" ht="15.6" x14ac:dyDescent="0.35">
      <c r="D9" s="34">
        <v>2008</v>
      </c>
      <c r="E9" s="34">
        <v>19967</v>
      </c>
      <c r="F9" s="34">
        <v>39218.699999999997</v>
      </c>
      <c r="G9" s="41">
        <v>0</v>
      </c>
      <c r="H9" s="41">
        <v>0</v>
      </c>
      <c r="I9" s="5">
        <f t="shared" si="0"/>
        <v>-857.7566355155941</v>
      </c>
      <c r="J9" s="5">
        <f t="shared" si="1"/>
        <v>467130.48528577201</v>
      </c>
      <c r="P9" s="36">
        <v>2009</v>
      </c>
      <c r="Q9" s="36">
        <v>6209.8</v>
      </c>
      <c r="R9" s="5">
        <v>2058.1000000000058</v>
      </c>
      <c r="S9" s="39">
        <v>1</v>
      </c>
      <c r="T9" s="39">
        <v>0</v>
      </c>
      <c r="Y9" s="38" t="s">
        <v>74</v>
      </c>
      <c r="Z9" s="72" t="s">
        <v>86</v>
      </c>
      <c r="AA9" s="72" t="s">
        <v>87</v>
      </c>
      <c r="AD9" s="39">
        <v>2008</v>
      </c>
      <c r="AE9" s="36">
        <v>7359.9</v>
      </c>
      <c r="AF9" s="36">
        <v>7120.7</v>
      </c>
      <c r="AG9" s="39">
        <v>0</v>
      </c>
      <c r="AH9" s="39">
        <v>0</v>
      </c>
    </row>
    <row r="10" spans="4:34" ht="17.399999999999999" thickBot="1" x14ac:dyDescent="0.4">
      <c r="D10" s="34">
        <v>2009</v>
      </c>
      <c r="E10" s="41">
        <v>18946.599999999999</v>
      </c>
      <c r="F10" s="34">
        <v>41276.800000000003</v>
      </c>
      <c r="G10" s="41">
        <v>1</v>
      </c>
      <c r="H10" s="41">
        <v>0</v>
      </c>
      <c r="I10" s="5">
        <f t="shared" si="0"/>
        <v>0</v>
      </c>
      <c r="J10" s="5">
        <f t="shared" si="1"/>
        <v>735746.44577103178</v>
      </c>
      <c r="P10" s="36">
        <v>2010</v>
      </c>
      <c r="Q10" s="36">
        <v>7982.2</v>
      </c>
      <c r="R10" s="5">
        <v>-3228.2000000000044</v>
      </c>
      <c r="S10" s="39">
        <v>0</v>
      </c>
      <c r="T10" s="39">
        <v>0</v>
      </c>
      <c r="W10" s="5" t="s">
        <v>73</v>
      </c>
      <c r="X10" s="5">
        <v>1</v>
      </c>
      <c r="Y10" s="5">
        <v>662.60573864770413</v>
      </c>
      <c r="Z10" s="5">
        <v>0</v>
      </c>
      <c r="AA10" s="5">
        <v>1</v>
      </c>
      <c r="AD10" s="39">
        <v>2009</v>
      </c>
      <c r="AE10" s="36">
        <v>7314.5</v>
      </c>
      <c r="AF10" s="36">
        <v>7359.9</v>
      </c>
      <c r="AG10" s="39">
        <v>1</v>
      </c>
      <c r="AH10" s="39">
        <v>0</v>
      </c>
    </row>
    <row r="11" spans="4:34" ht="18" thickTop="1" thickBot="1" x14ac:dyDescent="0.4">
      <c r="D11" s="34">
        <v>2010</v>
      </c>
      <c r="E11" s="34">
        <v>19993.8</v>
      </c>
      <c r="F11" s="34">
        <v>38048.6</v>
      </c>
      <c r="G11" s="41">
        <v>0</v>
      </c>
      <c r="H11" s="41">
        <v>0</v>
      </c>
      <c r="I11" s="5">
        <f t="shared" si="0"/>
        <v>151.55762154296463</v>
      </c>
      <c r="J11" s="5">
        <f t="shared" si="1"/>
        <v>22969.712647760494</v>
      </c>
      <c r="L11" s="38" t="s">
        <v>107</v>
      </c>
      <c r="M11" s="36">
        <v>0.95</v>
      </c>
      <c r="P11" s="36">
        <v>2011</v>
      </c>
      <c r="Q11" s="36">
        <v>9656.2999999999993</v>
      </c>
      <c r="R11" s="5">
        <v>1713.5999999999985</v>
      </c>
      <c r="S11" s="39">
        <v>0</v>
      </c>
      <c r="T11" s="39">
        <v>0</v>
      </c>
      <c r="W11" s="46" t="s">
        <v>88</v>
      </c>
      <c r="X11" s="43">
        <f>T20+S20*Y10+R20*Z10+Q20*AA10</f>
        <v>8097.7284756902945</v>
      </c>
      <c r="AD11" s="39">
        <v>2010</v>
      </c>
      <c r="AE11" s="36">
        <v>7205.7</v>
      </c>
      <c r="AF11" s="36">
        <v>7314.5</v>
      </c>
      <c r="AG11" s="39">
        <v>0</v>
      </c>
      <c r="AH11" s="39">
        <v>0</v>
      </c>
    </row>
    <row r="12" spans="4:34" ht="16.8" thickTop="1" thickBot="1" x14ac:dyDescent="0.4">
      <c r="D12" s="34">
        <v>2011</v>
      </c>
      <c r="E12" s="34">
        <v>21356.2</v>
      </c>
      <c r="F12" s="34">
        <v>39762.199999999997</v>
      </c>
      <c r="G12" s="41">
        <v>0</v>
      </c>
      <c r="H12" s="41">
        <v>0</v>
      </c>
      <c r="I12" s="5">
        <f t="shared" si="0"/>
        <v>75.075106462591066</v>
      </c>
      <c r="J12" s="5">
        <f t="shared" si="1"/>
        <v>5849.5751130195686</v>
      </c>
      <c r="L12" s="38" t="s">
        <v>108</v>
      </c>
      <c r="M12" s="36">
        <f>_xlfn.T.INV.2T(1-M11,F24)</f>
        <v>2.2009851600916384</v>
      </c>
      <c r="P12" s="36">
        <v>2012</v>
      </c>
      <c r="Q12" s="37">
        <v>10084.8629609</v>
      </c>
      <c r="R12" s="5">
        <v>1695.6000000000058</v>
      </c>
      <c r="S12" s="39">
        <v>0</v>
      </c>
      <c r="T12" s="39">
        <v>0</v>
      </c>
      <c r="W12" s="46" t="s">
        <v>89</v>
      </c>
      <c r="X12" s="43">
        <v>8393.4108784662603</v>
      </c>
      <c r="AD12" s="39">
        <v>2011</v>
      </c>
      <c r="AE12" s="36">
        <v>7306.7</v>
      </c>
      <c r="AF12" s="36">
        <v>7205.7</v>
      </c>
      <c r="AG12" s="39">
        <v>0</v>
      </c>
      <c r="AH12" s="39">
        <v>0</v>
      </c>
    </row>
    <row r="13" spans="4:34" ht="17.399999999999999" thickTop="1" thickBot="1" x14ac:dyDescent="0.35">
      <c r="D13" s="34">
        <v>2012</v>
      </c>
      <c r="E13" s="35">
        <v>23053.8</v>
      </c>
      <c r="F13" s="34">
        <v>41457.800000000003</v>
      </c>
      <c r="G13" s="41">
        <v>0</v>
      </c>
      <c r="H13" s="41">
        <v>0</v>
      </c>
      <c r="I13" s="5">
        <f t="shared" si="0"/>
        <v>348.90690351539888</v>
      </c>
      <c r="J13" s="5">
        <f t="shared" si="1"/>
        <v>74983.853077170133</v>
      </c>
      <c r="L13" s="38" t="s">
        <v>109</v>
      </c>
      <c r="M13" s="36">
        <f>J$28-M$12*K$23</f>
        <v>21405.653375335645</v>
      </c>
      <c r="P13" s="36">
        <v>2013</v>
      </c>
      <c r="Q13" s="37">
        <v>9525.0478595999994</v>
      </c>
      <c r="R13" s="5">
        <v>1515.6999999999971</v>
      </c>
      <c r="S13" s="39">
        <v>0</v>
      </c>
      <c r="T13" s="39">
        <v>0</v>
      </c>
      <c r="W13" s="46" t="s">
        <v>112</v>
      </c>
      <c r="X13" s="43">
        <v>1633.223947636139</v>
      </c>
      <c r="AD13" s="39">
        <v>2012</v>
      </c>
      <c r="AE13" s="37">
        <v>7498.7</v>
      </c>
      <c r="AF13" s="36">
        <v>7306.7</v>
      </c>
      <c r="AG13" s="39">
        <v>0</v>
      </c>
      <c r="AH13" s="39">
        <v>0</v>
      </c>
    </row>
    <row r="14" spans="4:34" ht="16.8" thickTop="1" x14ac:dyDescent="0.3">
      <c r="D14" s="34">
        <v>2013</v>
      </c>
      <c r="E14" s="35">
        <v>24263.159764191099</v>
      </c>
      <c r="F14" s="35">
        <v>42973.5</v>
      </c>
      <c r="G14" s="41">
        <v>0</v>
      </c>
      <c r="H14" s="41">
        <v>0</v>
      </c>
      <c r="I14" s="5">
        <f t="shared" si="0"/>
        <v>285.55761769055243</v>
      </c>
      <c r="J14" s="5">
        <f t="shared" si="1"/>
        <v>4013.1320145180912</v>
      </c>
      <c r="L14" s="38" t="s">
        <v>110</v>
      </c>
      <c r="M14" s="36">
        <f>J$28+M$12*K$23</f>
        <v>23472.116015195414</v>
      </c>
      <c r="P14" s="36">
        <v>2014</v>
      </c>
      <c r="Q14" s="37">
        <v>8947.7364885999996</v>
      </c>
      <c r="R14" s="5">
        <v>767.20411147509731</v>
      </c>
      <c r="S14" s="39">
        <v>0</v>
      </c>
      <c r="T14" s="39">
        <v>0</v>
      </c>
      <c r="AD14" s="39">
        <v>2013</v>
      </c>
      <c r="AE14" s="37">
        <v>7562.6711761688503</v>
      </c>
      <c r="AF14" s="37">
        <v>7498.7</v>
      </c>
      <c r="AG14" s="39">
        <v>0</v>
      </c>
      <c r="AH14" s="39">
        <v>0</v>
      </c>
    </row>
    <row r="15" spans="4:34" x14ac:dyDescent="0.3">
      <c r="D15" s="34">
        <v>2014</v>
      </c>
      <c r="E15" s="35">
        <v>24736.3708425324</v>
      </c>
      <c r="F15" s="35">
        <v>43740.704111475097</v>
      </c>
      <c r="G15" s="41">
        <v>0</v>
      </c>
      <c r="H15" s="41">
        <v>0</v>
      </c>
      <c r="I15" s="5">
        <f t="shared" si="0"/>
        <v>114.55967321480421</v>
      </c>
      <c r="J15" s="5">
        <f t="shared" si="1"/>
        <v>29240.297014931075</v>
      </c>
      <c r="P15" s="36">
        <v>2015</v>
      </c>
      <c r="Q15" s="37">
        <v>7848.3547778999991</v>
      </c>
      <c r="R15" s="5">
        <v>323.09334284420038</v>
      </c>
      <c r="S15" s="39">
        <v>0</v>
      </c>
      <c r="T15" s="39">
        <v>1</v>
      </c>
      <c r="W15" s="38" t="s">
        <v>107</v>
      </c>
      <c r="X15" s="36">
        <v>0.95</v>
      </c>
      <c r="AD15" s="39">
        <v>2014</v>
      </c>
      <c r="AE15" s="37">
        <v>7401.9951260520202</v>
      </c>
      <c r="AF15" s="37">
        <v>7562.6711761688503</v>
      </c>
      <c r="AG15" s="39">
        <v>0</v>
      </c>
      <c r="AH15" s="39">
        <v>0</v>
      </c>
    </row>
    <row r="16" spans="4:34" ht="15.6" x14ac:dyDescent="0.3">
      <c r="D16" s="34">
        <v>2015</v>
      </c>
      <c r="E16" s="35">
        <v>22418.535331585401</v>
      </c>
      <c r="F16" s="35">
        <v>44063.797454319298</v>
      </c>
      <c r="G16" s="41">
        <v>0</v>
      </c>
      <c r="H16" s="41">
        <v>1</v>
      </c>
      <c r="I16" s="5">
        <f t="shared" si="0"/>
        <v>-465.42174335820891</v>
      </c>
      <c r="J16" s="5">
        <f t="shared" si="1"/>
        <v>336378.443570039</v>
      </c>
      <c r="P16" s="36">
        <v>2016</v>
      </c>
      <c r="Q16" s="37">
        <v>7700.6521864999995</v>
      </c>
      <c r="R16" s="5">
        <v>-1118.5164172023942</v>
      </c>
      <c r="S16" s="39">
        <v>0</v>
      </c>
      <c r="T16" s="39">
        <v>1</v>
      </c>
      <c r="W16" s="38" t="s">
        <v>108</v>
      </c>
      <c r="X16" s="36">
        <f>_xlfn.T.INV.2T(1-X15,R23)</f>
        <v>2.2281388519862744</v>
      </c>
      <c r="AD16" s="39">
        <v>2015</v>
      </c>
      <c r="AE16" s="37">
        <v>7170.7326642855796</v>
      </c>
      <c r="AF16" s="37">
        <v>7401.9951260520202</v>
      </c>
      <c r="AG16" s="39">
        <v>0</v>
      </c>
      <c r="AH16" s="39">
        <v>1</v>
      </c>
    </row>
    <row r="17" spans="4:36" ht="16.2" x14ac:dyDescent="0.3">
      <c r="D17" s="34">
        <v>2016</v>
      </c>
      <c r="E17" s="35">
        <v>21780.763210474499</v>
      </c>
      <c r="F17" s="35">
        <v>42945.281037116903</v>
      </c>
      <c r="G17" s="41">
        <v>0</v>
      </c>
      <c r="H17" s="41">
        <v>1</v>
      </c>
      <c r="I17" s="5">
        <f t="shared" si="0"/>
        <v>-163.99351693008066</v>
      </c>
      <c r="J17" s="5">
        <f t="shared" si="1"/>
        <v>90858.975687606959</v>
      </c>
      <c r="P17" s="36">
        <v>2017</v>
      </c>
      <c r="Q17" s="37">
        <v>8269.5079999999998</v>
      </c>
      <c r="R17" s="5">
        <v>-74.136786629605922</v>
      </c>
      <c r="S17" s="39">
        <v>0</v>
      </c>
      <c r="T17" s="39">
        <v>1</v>
      </c>
      <c r="W17" s="38" t="s">
        <v>109</v>
      </c>
      <c r="X17" s="36">
        <f>$X$11-$X$16*$X$13</f>
        <v>4458.6787439678174</v>
      </c>
      <c r="AD17" s="39">
        <v>2016</v>
      </c>
      <c r="AE17" s="37">
        <v>7238.2651898854401</v>
      </c>
      <c r="AF17" s="37">
        <v>7170.7326642855796</v>
      </c>
      <c r="AG17" s="39">
        <v>0</v>
      </c>
      <c r="AH17" s="39">
        <v>1</v>
      </c>
    </row>
    <row r="18" spans="4:36" ht="16.8" thickBot="1" x14ac:dyDescent="0.35">
      <c r="D18" s="34">
        <v>2017</v>
      </c>
      <c r="E18" s="35">
        <v>22511.920513599998</v>
      </c>
      <c r="F18" s="35">
        <v>42871.144250487298</v>
      </c>
      <c r="G18" s="41">
        <v>0</v>
      </c>
      <c r="H18" s="41">
        <v>1</v>
      </c>
      <c r="I18" s="5">
        <f t="shared" si="0"/>
        <v>629.41526028831504</v>
      </c>
      <c r="J18" s="5">
        <f t="shared" si="1"/>
        <v>629497.48776718986</v>
      </c>
      <c r="W18" s="38" t="s">
        <v>110</v>
      </c>
      <c r="X18" s="36">
        <f>$X$11+$X$16*$X$13</f>
        <v>11736.778207412772</v>
      </c>
      <c r="AD18" s="39">
        <v>2017</v>
      </c>
      <c r="AE18" s="37">
        <v>7264.2719268000001</v>
      </c>
      <c r="AF18" s="37">
        <v>7238.2651898854401</v>
      </c>
      <c r="AG18" s="39">
        <v>0</v>
      </c>
      <c r="AH18" s="39">
        <v>1</v>
      </c>
    </row>
    <row r="19" spans="4:36" ht="15.6" thickTop="1" thickBot="1" x14ac:dyDescent="0.35">
      <c r="I19" s="67" t="s">
        <v>60</v>
      </c>
      <c r="J19" s="43">
        <f>SUM(J5:J18)</f>
        <v>2530440.8187009636</v>
      </c>
      <c r="Q19" s="46" t="s">
        <v>45</v>
      </c>
      <c r="R19" s="46" t="s">
        <v>40</v>
      </c>
      <c r="S19" s="46" t="s">
        <v>41</v>
      </c>
      <c r="T19" s="46" t="s">
        <v>42</v>
      </c>
    </row>
    <row r="20" spans="4:36" ht="15.6" thickTop="1" thickBot="1" x14ac:dyDescent="0.35">
      <c r="E20" s="46" t="s">
        <v>33</v>
      </c>
      <c r="F20" s="46" t="s">
        <v>34</v>
      </c>
      <c r="G20" s="46" t="s">
        <v>35</v>
      </c>
      <c r="H20" s="46" t="s">
        <v>36</v>
      </c>
      <c r="Q20" s="43">
        <f t="array" ref="Q20:T24">LINEST(Q4:Q17,R4:T17,1,1)</f>
        <v>-447.86802024678707</v>
      </c>
      <c r="R20" s="43">
        <v>-2567.617459308899</v>
      </c>
      <c r="S20" s="43">
        <v>0.16612104384232315</v>
      </c>
      <c r="T20" s="43">
        <v>8435.5237389770118</v>
      </c>
      <c r="AD20" s="82" t="s">
        <v>70</v>
      </c>
      <c r="AE20" s="83" t="s">
        <v>43</v>
      </c>
      <c r="AF20" s="84" t="s">
        <v>44</v>
      </c>
      <c r="AI20" s="38" t="s">
        <v>107</v>
      </c>
      <c r="AJ20" s="36">
        <v>0.95</v>
      </c>
    </row>
    <row r="21" spans="4:36" ht="16.8" thickTop="1" thickBot="1" x14ac:dyDescent="0.35">
      <c r="E21" s="43">
        <f t="array" ref="E21:H25">LINEST(E4:E18,F4:H18,1,1)</f>
        <v>-2009.1504072576204</v>
      </c>
      <c r="F21" s="43">
        <v>-3606.3102911452356</v>
      </c>
      <c r="G21" s="43">
        <v>0.83968400739984861</v>
      </c>
      <c r="H21" s="43">
        <v>-12106.558545496844</v>
      </c>
      <c r="J21" s="69" t="s">
        <v>61</v>
      </c>
      <c r="K21" s="43">
        <f>J19/F25</f>
        <v>1.3920077824112937</v>
      </c>
      <c r="Q21" s="58">
        <v>1024.0010223650759</v>
      </c>
      <c r="R21" s="58">
        <v>1475.162027588995</v>
      </c>
      <c r="S21" s="58">
        <v>0.26000382301586</v>
      </c>
      <c r="T21" s="58">
        <v>578.84274560061249</v>
      </c>
      <c r="AD21" s="81">
        <f t="array" ref="AD21:AF25">LINEST(AE4:AE18,AF4:AH18,0,1)</f>
        <v>-141.20014024193026</v>
      </c>
      <c r="AE21" s="81">
        <v>-141.86639033044486</v>
      </c>
      <c r="AF21" s="81">
        <v>1.0131070245968619</v>
      </c>
      <c r="AI21" s="38" t="s">
        <v>108</v>
      </c>
      <c r="AJ21" s="36">
        <f>_xlfn.T.INV.2T(1-AJ20,AE24)</f>
        <v>2.178812829667228</v>
      </c>
    </row>
    <row r="22" spans="4:36" ht="17.399999999999999" thickTop="1" thickBot="1" x14ac:dyDescent="0.35">
      <c r="E22" s="58">
        <v>306.16646073646712</v>
      </c>
      <c r="F22" s="58">
        <v>437.94240852767524</v>
      </c>
      <c r="G22" s="58">
        <v>2.3018906433872478E-2</v>
      </c>
      <c r="H22" s="58">
        <v>851.71672124659347</v>
      </c>
      <c r="J22" s="69" t="s">
        <v>67</v>
      </c>
      <c r="K22" s="43">
        <f>_xlfn.F.INV(0.95,3,11)</f>
        <v>3.5874337024204941</v>
      </c>
      <c r="Q22" s="59">
        <v>0.26186136704749446</v>
      </c>
      <c r="R22" s="59">
        <v>1398.059390814542</v>
      </c>
      <c r="S22" s="58" t="e">
        <v>#N/A</v>
      </c>
      <c r="T22" s="58" t="e">
        <v>#N/A</v>
      </c>
      <c r="AD22" s="79">
        <v>88.015840747038169</v>
      </c>
      <c r="AE22" s="79">
        <v>140.68530636448227</v>
      </c>
      <c r="AF22" s="79">
        <v>5.7467663531035442E-3</v>
      </c>
      <c r="AI22" s="38" t="s">
        <v>109</v>
      </c>
      <c r="AJ22" s="36">
        <f>$AE$29-$AJ$21*$AE$31</f>
        <v>6880.7123268227924</v>
      </c>
    </row>
    <row r="23" spans="4:36" ht="17.399999999999999" thickTop="1" thickBot="1" x14ac:dyDescent="0.35">
      <c r="D23" s="69" t="s">
        <v>68</v>
      </c>
      <c r="E23" s="58">
        <v>0.99279877126980542</v>
      </c>
      <c r="F23" s="43">
        <v>406.51906502949629</v>
      </c>
      <c r="G23" s="58" t="e">
        <v>#N/A</v>
      </c>
      <c r="H23" s="58" t="e">
        <v>#N/A</v>
      </c>
      <c r="J23" s="46" t="s">
        <v>111</v>
      </c>
      <c r="K23" s="43">
        <v>469.44038454437577</v>
      </c>
      <c r="Q23" s="58">
        <v>1.182530197613721</v>
      </c>
      <c r="R23" s="58">
        <v>10</v>
      </c>
      <c r="S23" s="58" t="e">
        <v>#N/A</v>
      </c>
      <c r="T23" s="58" t="e">
        <v>#N/A</v>
      </c>
      <c r="AD23" s="80">
        <v>0.99971936106016668</v>
      </c>
      <c r="AE23" s="78">
        <v>134.17688129860107</v>
      </c>
      <c r="AF23" s="79" t="e">
        <v>#N/A</v>
      </c>
      <c r="AI23" s="38" t="s">
        <v>110</v>
      </c>
      <c r="AJ23" s="36">
        <f>$AE$29+$AJ$21*$AE$31</f>
        <v>7555.8572279390692</v>
      </c>
    </row>
    <row r="24" spans="4:36" ht="15.6" thickTop="1" thickBot="1" x14ac:dyDescent="0.35">
      <c r="D24" s="69" t="s">
        <v>66</v>
      </c>
      <c r="E24" s="59">
        <v>505.50569877875176</v>
      </c>
      <c r="F24" s="59">
        <v>11</v>
      </c>
      <c r="G24" s="58" t="e">
        <v>#N/A</v>
      </c>
      <c r="H24" s="58" t="e">
        <v>#N/A</v>
      </c>
      <c r="Q24" s="58">
        <v>6934014.3587731831</v>
      </c>
      <c r="R24" s="59">
        <v>19545700.602447283</v>
      </c>
      <c r="S24" s="58" t="e">
        <v>#N/A</v>
      </c>
      <c r="T24" s="58" t="e">
        <v>#N/A</v>
      </c>
      <c r="AD24" s="80">
        <v>14249.189533767762</v>
      </c>
      <c r="AE24" s="80">
        <v>12</v>
      </c>
      <c r="AF24" s="79" t="e">
        <v>#N/A</v>
      </c>
    </row>
    <row r="25" spans="4:36" ht="15" thickTop="1" x14ac:dyDescent="0.3">
      <c r="E25" s="58">
        <v>250616203.52958608</v>
      </c>
      <c r="F25" s="59">
        <v>1817835.2525570143</v>
      </c>
      <c r="G25" s="58" t="e">
        <v>#N/A</v>
      </c>
      <c r="H25" s="58" t="e">
        <v>#N/A</v>
      </c>
      <c r="AD25" s="79">
        <v>769603093.02750671</v>
      </c>
      <c r="AE25" s="79">
        <v>216041.22570022655</v>
      </c>
      <c r="AF25" s="79" t="e">
        <v>#N/A</v>
      </c>
    </row>
    <row r="26" spans="4:36" ht="15.6" x14ac:dyDescent="0.35">
      <c r="K26" s="71" t="s">
        <v>74</v>
      </c>
      <c r="L26" s="72" t="s">
        <v>72</v>
      </c>
      <c r="M26" s="72" t="s">
        <v>75</v>
      </c>
    </row>
    <row r="27" spans="4:36" ht="17.399999999999999" thickBot="1" x14ac:dyDescent="0.4">
      <c r="I27" s="5" t="s">
        <v>73</v>
      </c>
      <c r="J27" s="5">
        <v>1</v>
      </c>
      <c r="K27" s="8">
        <v>43533.749989135002</v>
      </c>
      <c r="L27" s="5">
        <v>0</v>
      </c>
      <c r="M27" s="5">
        <v>1</v>
      </c>
      <c r="AE27" s="38" t="s">
        <v>105</v>
      </c>
      <c r="AF27" s="72" t="s">
        <v>86</v>
      </c>
      <c r="AG27" s="72" t="s">
        <v>87</v>
      </c>
    </row>
    <row r="28" spans="4:36" ht="18" thickTop="1" thickBot="1" x14ac:dyDescent="0.4">
      <c r="I28" s="46" t="s">
        <v>76</v>
      </c>
      <c r="J28" s="43">
        <f>H21+G21*K27+F21*L27+E21*M27</f>
        <v>22438.884695265529</v>
      </c>
      <c r="AD28" s="5" t="s">
        <v>73</v>
      </c>
      <c r="AE28" s="9">
        <v>7264.2719268000001</v>
      </c>
      <c r="AF28" s="5">
        <v>0</v>
      </c>
      <c r="AG28" s="5">
        <v>1</v>
      </c>
    </row>
    <row r="29" spans="4:36" ht="18" thickTop="1" thickBot="1" x14ac:dyDescent="0.4">
      <c r="I29" s="46" t="s">
        <v>77</v>
      </c>
      <c r="J29" s="43">
        <v>23010</v>
      </c>
      <c r="AD29" s="46" t="s">
        <v>104</v>
      </c>
      <c r="AE29" s="43">
        <f>AF21*AE28+AF28*AE21+AG28*AD21</f>
        <v>7218.2847773809308</v>
      </c>
    </row>
    <row r="30" spans="4:36" ht="16.8" thickTop="1" thickBot="1" x14ac:dyDescent="0.4">
      <c r="AD30" s="46" t="s">
        <v>103</v>
      </c>
      <c r="AE30" s="43">
        <v>7326.3820647624398</v>
      </c>
    </row>
    <row r="31" spans="4:36" ht="15.6" thickTop="1" thickBot="1" x14ac:dyDescent="0.35">
      <c r="AD31" s="46" t="s">
        <v>113</v>
      </c>
      <c r="AE31" s="43">
        <v>154.93412098628792</v>
      </c>
    </row>
    <row r="32" spans="4:36" ht="15" thickTop="1" x14ac:dyDescent="0.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27B2-4290-49E5-9B11-AEA73F07CA46}">
  <dimension ref="C2:O22"/>
  <sheetViews>
    <sheetView tabSelected="1" workbookViewId="0">
      <selection activeCell="I12" sqref="I12"/>
    </sheetView>
  </sheetViews>
  <sheetFormatPr defaultRowHeight="14.4" x14ac:dyDescent="0.3"/>
  <cols>
    <col min="2" max="2" width="6.77734375" customWidth="1"/>
    <col min="3" max="3" width="7.44140625" customWidth="1"/>
    <col min="4" max="4" width="15.6640625" customWidth="1"/>
    <col min="5" max="5" width="17.109375" customWidth="1"/>
    <col min="6" max="6" width="12.109375" customWidth="1"/>
    <col min="11" max="11" width="14" bestFit="1" customWidth="1"/>
    <col min="12" max="12" width="27" bestFit="1" customWidth="1"/>
    <col min="13" max="13" width="17" bestFit="1" customWidth="1"/>
    <col min="14" max="14" width="18.5546875" bestFit="1" customWidth="1"/>
  </cols>
  <sheetData>
    <row r="2" spans="3:15" ht="15" thickBot="1" x14ac:dyDescent="0.35"/>
    <row r="3" spans="3:15" ht="28.2" thickBot="1" x14ac:dyDescent="0.35">
      <c r="C3" s="88" t="s">
        <v>114</v>
      </c>
      <c r="D3" s="89" t="s">
        <v>115</v>
      </c>
      <c r="E3" s="89" t="s">
        <v>116</v>
      </c>
      <c r="F3" s="89" t="s">
        <v>117</v>
      </c>
      <c r="I3" s="88" t="s">
        <v>114</v>
      </c>
      <c r="J3" s="91" t="s">
        <v>118</v>
      </c>
      <c r="K3" s="92" t="s">
        <v>119</v>
      </c>
      <c r="L3" s="97" t="s">
        <v>126</v>
      </c>
    </row>
    <row r="4" spans="3:15" ht="16.2" thickBot="1" x14ac:dyDescent="0.35">
      <c r="C4" s="87">
        <v>2000</v>
      </c>
      <c r="D4" s="90">
        <v>7305</v>
      </c>
      <c r="E4" s="90">
        <v>4306</v>
      </c>
      <c r="F4" s="90">
        <v>65.272999999999996</v>
      </c>
      <c r="I4" s="87">
        <v>2000</v>
      </c>
      <c r="J4" s="98">
        <f>LN(D4/F4)</f>
        <v>4.7177358496706949</v>
      </c>
      <c r="K4" s="99">
        <f>LN(E4/F4)</f>
        <v>4.1891862034102036</v>
      </c>
      <c r="L4" s="98">
        <f>J4-($K$18+$J$18*K4)</f>
        <v>1.1809014495502979E-3</v>
      </c>
      <c r="O4" s="85"/>
    </row>
    <row r="5" spans="3:15" ht="16.2" thickBot="1" x14ac:dyDescent="0.35">
      <c r="C5" s="87">
        <v>2001</v>
      </c>
      <c r="D5" s="90">
        <v>7678</v>
      </c>
      <c r="E5" s="90">
        <v>4979</v>
      </c>
      <c r="F5" s="90">
        <v>65.123999999999995</v>
      </c>
      <c r="I5" s="87">
        <v>2001</v>
      </c>
      <c r="J5" s="98">
        <f t="shared" ref="J5:J15" si="0">LN(D5/F5)</f>
        <v>4.7698212306914751</v>
      </c>
      <c r="K5" s="99">
        <f t="shared" ref="K5:K15" si="1">LN(E5/F5)</f>
        <v>4.3366912017729149</v>
      </c>
      <c r="L5" s="98">
        <f t="shared" ref="L5:L15" si="2">J5-($K$18+$J$18*K5)</f>
        <v>1.571932381229324E-3</v>
      </c>
      <c r="O5" s="85"/>
    </row>
    <row r="6" spans="3:15" ht="16.2" thickBot="1" x14ac:dyDescent="0.35">
      <c r="C6" s="87">
        <v>2002</v>
      </c>
      <c r="D6" s="90">
        <v>8042</v>
      </c>
      <c r="E6" s="90">
        <v>5518</v>
      </c>
      <c r="F6" s="90">
        <v>66.266000000000005</v>
      </c>
      <c r="I6" s="87">
        <v>2002</v>
      </c>
      <c r="J6" s="98">
        <f t="shared" si="0"/>
        <v>4.798756142315634</v>
      </c>
      <c r="K6" s="99">
        <f t="shared" si="1"/>
        <v>4.4220938096356459</v>
      </c>
      <c r="L6" s="98">
        <f t="shared" si="2"/>
        <v>5.7679174694058588E-4</v>
      </c>
      <c r="O6" s="85"/>
    </row>
    <row r="7" spans="3:15" ht="16.2" thickBot="1" x14ac:dyDescent="0.35">
      <c r="C7" s="87">
        <v>2003</v>
      </c>
      <c r="D7" s="90">
        <v>8633</v>
      </c>
      <c r="E7" s="90">
        <v>6640</v>
      </c>
      <c r="F7" s="90">
        <v>67.152000000000001</v>
      </c>
      <c r="I7" s="87">
        <v>2003</v>
      </c>
      <c r="J7" s="98">
        <f t="shared" si="0"/>
        <v>4.8563886416442879</v>
      </c>
      <c r="K7" s="99">
        <f t="shared" si="1"/>
        <v>4.5939085358792449</v>
      </c>
      <c r="L7" s="98">
        <f t="shared" si="2"/>
        <v>-2.0046047753066176E-3</v>
      </c>
      <c r="O7" s="85"/>
    </row>
    <row r="8" spans="3:15" ht="16.2" thickBot="1" x14ac:dyDescent="0.35">
      <c r="C8" s="87">
        <v>2004</v>
      </c>
      <c r="D8" s="90">
        <v>9250</v>
      </c>
      <c r="E8" s="90">
        <v>8103</v>
      </c>
      <c r="F8" s="90">
        <v>67.134</v>
      </c>
      <c r="I8" s="87">
        <v>2004</v>
      </c>
      <c r="J8" s="98">
        <f t="shared" si="0"/>
        <v>4.925688208452832</v>
      </c>
      <c r="K8" s="99">
        <f t="shared" si="1"/>
        <v>4.793299020407086</v>
      </c>
      <c r="L8" s="98">
        <f t="shared" si="2"/>
        <v>-2.5830870229173186E-3</v>
      </c>
      <c r="O8" s="85"/>
    </row>
    <row r="9" spans="3:15" ht="16.2" thickBot="1" x14ac:dyDescent="0.35">
      <c r="C9" s="87">
        <v>2005</v>
      </c>
      <c r="D9" s="90">
        <v>9839</v>
      </c>
      <c r="E9" s="90">
        <v>9207</v>
      </c>
      <c r="F9" s="90">
        <v>68.602999999999994</v>
      </c>
      <c r="I9" s="87">
        <v>2005</v>
      </c>
      <c r="J9" s="98">
        <f t="shared" si="0"/>
        <v>4.9657730933117064</v>
      </c>
      <c r="K9" s="99">
        <f t="shared" si="1"/>
        <v>4.8993830777337868</v>
      </c>
      <c r="L9" s="98">
        <f t="shared" si="2"/>
        <v>3.2376008001655521E-4</v>
      </c>
      <c r="O9" s="85"/>
    </row>
    <row r="10" spans="3:15" ht="16.2" thickBot="1" x14ac:dyDescent="0.35">
      <c r="C10" s="87">
        <v>2006</v>
      </c>
      <c r="D10" s="90">
        <v>10597</v>
      </c>
      <c r="E10" s="90">
        <v>11277</v>
      </c>
      <c r="F10" s="90">
        <v>69.156999999999996</v>
      </c>
      <c r="I10" s="87">
        <v>2006</v>
      </c>
      <c r="J10" s="98">
        <f t="shared" si="0"/>
        <v>5.0319469389755414</v>
      </c>
      <c r="K10" s="99">
        <f t="shared" si="1"/>
        <v>5.094141250032993</v>
      </c>
      <c r="L10" s="98">
        <f t="shared" si="2"/>
        <v>-1.7570110711790932E-3</v>
      </c>
      <c r="O10" s="85"/>
    </row>
    <row r="11" spans="3:15" ht="16.2" thickBot="1" x14ac:dyDescent="0.35">
      <c r="C11" s="87">
        <v>2007</v>
      </c>
      <c r="D11" s="90">
        <v>11455</v>
      </c>
      <c r="E11" s="90">
        <v>13403</v>
      </c>
      <c r="F11" s="90">
        <v>70.813999999999993</v>
      </c>
      <c r="I11" s="87">
        <v>2007</v>
      </c>
      <c r="J11" s="98">
        <f t="shared" si="0"/>
        <v>5.0861248736229268</v>
      </c>
      <c r="K11" s="99">
        <f t="shared" si="1"/>
        <v>5.2431771202138275</v>
      </c>
      <c r="L11" s="98">
        <f t="shared" si="2"/>
        <v>1.900667613270457E-4</v>
      </c>
      <c r="O11" s="85"/>
    </row>
    <row r="12" spans="3:15" ht="16.2" thickBot="1" x14ac:dyDescent="0.35">
      <c r="C12" s="87">
        <v>2008</v>
      </c>
      <c r="D12" s="90">
        <v>12097</v>
      </c>
      <c r="E12" s="90">
        <v>15527</v>
      </c>
      <c r="F12" s="90">
        <v>70.602999999999994</v>
      </c>
      <c r="I12" s="87">
        <v>2008</v>
      </c>
      <c r="J12" s="98">
        <f t="shared" si="0"/>
        <v>5.1436401304456032</v>
      </c>
      <c r="K12" s="99">
        <f t="shared" si="1"/>
        <v>5.3932630864669244</v>
      </c>
      <c r="L12" s="98">
        <f t="shared" si="2"/>
        <v>5.1064518910566292E-3</v>
      </c>
      <c r="O12" s="85"/>
    </row>
    <row r="13" spans="3:15" ht="16.2" thickBot="1" x14ac:dyDescent="0.35">
      <c r="C13" s="87">
        <v>2009</v>
      </c>
      <c r="D13" s="90">
        <v>11205</v>
      </c>
      <c r="E13" s="90">
        <v>13100</v>
      </c>
      <c r="F13" s="90">
        <v>69.41</v>
      </c>
      <c r="I13" s="87">
        <v>2009</v>
      </c>
      <c r="J13" s="98">
        <f t="shared" si="0"/>
        <v>5.0840844368835354</v>
      </c>
      <c r="K13" s="99">
        <f t="shared" si="1"/>
        <v>5.2403365598377505</v>
      </c>
      <c r="L13" s="98">
        <f t="shared" si="2"/>
        <v>-8.548720345364913E-4</v>
      </c>
      <c r="O13" s="85"/>
    </row>
    <row r="14" spans="3:15" ht="16.2" thickBot="1" x14ac:dyDescent="0.35">
      <c r="C14" s="87">
        <v>2010</v>
      </c>
      <c r="D14" s="90">
        <v>11652</v>
      </c>
      <c r="E14" s="90">
        <v>14444</v>
      </c>
      <c r="F14" s="90">
        <v>69.933999999999997</v>
      </c>
      <c r="I14" s="87">
        <v>2010</v>
      </c>
      <c r="J14" s="98">
        <f t="shared" si="0"/>
        <v>5.1156811779422107</v>
      </c>
      <c r="K14" s="99">
        <f t="shared" si="1"/>
        <v>5.3304824422602337</v>
      </c>
      <c r="L14" s="98">
        <f t="shared" si="2"/>
        <v>-8.5050314470080934E-4</v>
      </c>
      <c r="O14" s="85"/>
    </row>
    <row r="15" spans="3:15" ht="16.2" thickBot="1" x14ac:dyDescent="0.35">
      <c r="C15" s="87">
        <v>2011</v>
      </c>
      <c r="D15" s="90">
        <v>12212</v>
      </c>
      <c r="E15" s="90">
        <v>16120</v>
      </c>
      <c r="F15" s="90">
        <v>70.856999999999999</v>
      </c>
      <c r="I15" s="87">
        <v>2011</v>
      </c>
      <c r="J15" s="98">
        <f t="shared" si="0"/>
        <v>5.1495105923162194</v>
      </c>
      <c r="K15" s="99">
        <f t="shared" si="1"/>
        <v>5.4271522545220696</v>
      </c>
      <c r="L15" s="98">
        <f t="shared" si="2"/>
        <v>-8.9982626149076594E-4</v>
      </c>
      <c r="O15" s="85"/>
    </row>
    <row r="16" spans="3:15" ht="15" thickBot="1" x14ac:dyDescent="0.35">
      <c r="K16" s="86"/>
    </row>
    <row r="17" spans="10:11" ht="15.6" thickTop="1" thickBot="1" x14ac:dyDescent="0.35">
      <c r="J17" s="46" t="s">
        <v>107</v>
      </c>
      <c r="K17" s="46" t="s">
        <v>36</v>
      </c>
    </row>
    <row r="18" spans="10:11" ht="16.2" thickTop="1" x14ac:dyDescent="0.3">
      <c r="J18" s="93">
        <f t="array" ref="J18:K22">LINEST(J4:J15,K4:K15,1,1)</f>
        <v>0.3504582940436069</v>
      </c>
      <c r="K18" s="93">
        <v>3.2484198979429904</v>
      </c>
    </row>
    <row r="19" spans="10:11" x14ac:dyDescent="0.3">
      <c r="J19" s="58">
        <v>1.4762780442595658E-3</v>
      </c>
      <c r="K19" s="58">
        <v>7.2804655419353038E-3</v>
      </c>
    </row>
    <row r="20" spans="10:11" ht="15.6" x14ac:dyDescent="0.3">
      <c r="J20" s="58">
        <v>0.99982258653421119</v>
      </c>
      <c r="K20" s="93">
        <v>2.1553816626234735E-3</v>
      </c>
    </row>
    <row r="21" spans="10:11" x14ac:dyDescent="0.3">
      <c r="J21" s="58">
        <v>56355.507294172647</v>
      </c>
      <c r="K21" s="58">
        <v>10</v>
      </c>
    </row>
    <row r="22" spans="10:11" x14ac:dyDescent="0.3">
      <c r="J22" s="58">
        <v>0.26180909585910189</v>
      </c>
      <c r="K22" s="58">
        <v>4.6456701115735297E-5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7FC2-2856-4898-BDC4-A3019D10E9F8}">
  <dimension ref="A1:AA65"/>
  <sheetViews>
    <sheetView topLeftCell="M48" workbookViewId="0">
      <selection activeCell="S63" sqref="S63:T63"/>
    </sheetView>
  </sheetViews>
  <sheetFormatPr defaultRowHeight="14.4" x14ac:dyDescent="0.3"/>
  <cols>
    <col min="3" max="3" width="12.6640625" bestFit="1" customWidth="1"/>
    <col min="13" max="14" width="12" bestFit="1" customWidth="1"/>
    <col min="15" max="15" width="12.6640625" bestFit="1" customWidth="1"/>
    <col min="16" max="16" width="11.77734375" bestFit="1" customWidth="1"/>
    <col min="17" max="17" width="12.88671875" bestFit="1" customWidth="1"/>
    <col min="18" max="18" width="12.109375" bestFit="1" customWidth="1"/>
    <col min="19" max="19" width="12.6640625" bestFit="1" customWidth="1"/>
    <col min="20" max="20" width="12.77734375" bestFit="1" customWidth="1"/>
    <col min="21" max="22" width="12.6640625" bestFit="1" customWidth="1"/>
    <col min="23" max="23" width="12" bestFit="1" customWidth="1"/>
    <col min="24" max="24" width="11.6640625" bestFit="1" customWidth="1"/>
  </cols>
  <sheetData>
    <row r="1" spans="1:27" x14ac:dyDescent="0.3">
      <c r="A1" s="38" t="s">
        <v>15</v>
      </c>
      <c r="B1" s="38" t="s">
        <v>37</v>
      </c>
      <c r="C1" s="38" t="s">
        <v>38</v>
      </c>
      <c r="D1" s="40" t="s">
        <v>30</v>
      </c>
      <c r="E1" s="40" t="s">
        <v>31</v>
      </c>
    </row>
    <row r="2" spans="1:27" x14ac:dyDescent="0.3">
      <c r="A2" s="36">
        <v>2004</v>
      </c>
      <c r="B2" s="36">
        <v>6056.2</v>
      </c>
      <c r="C2" s="5">
        <v>1992.6000000000022</v>
      </c>
      <c r="D2" s="39">
        <v>0</v>
      </c>
      <c r="E2" s="39">
        <v>0</v>
      </c>
    </row>
    <row r="3" spans="1:27" x14ac:dyDescent="0.3">
      <c r="A3" s="36">
        <v>2005</v>
      </c>
      <c r="B3" s="36">
        <v>6631.1</v>
      </c>
      <c r="C3" s="5">
        <v>2102.8999999999978</v>
      </c>
      <c r="D3" s="39">
        <v>0</v>
      </c>
      <c r="E3" s="39">
        <v>0</v>
      </c>
    </row>
    <row r="4" spans="1:27" x14ac:dyDescent="0.3">
      <c r="A4" s="36">
        <v>2006</v>
      </c>
      <c r="B4" s="36">
        <v>7806.4</v>
      </c>
      <c r="C4" s="5">
        <v>2002.7000000000007</v>
      </c>
      <c r="D4" s="39">
        <v>0</v>
      </c>
      <c r="E4" s="39">
        <v>0</v>
      </c>
    </row>
    <row r="5" spans="1:27" x14ac:dyDescent="0.3">
      <c r="A5" s="36">
        <v>2007</v>
      </c>
      <c r="B5" s="36">
        <v>9526.5</v>
      </c>
      <c r="C5" s="5">
        <v>2724.0999999999985</v>
      </c>
      <c r="D5" s="39">
        <v>0</v>
      </c>
      <c r="E5" s="39">
        <v>0</v>
      </c>
    </row>
    <row r="6" spans="1:27" x14ac:dyDescent="0.3">
      <c r="A6" s="36">
        <v>2008</v>
      </c>
      <c r="B6" s="36">
        <v>10526.1</v>
      </c>
      <c r="C6" s="5">
        <v>3084.0999999999985</v>
      </c>
      <c r="D6" s="39">
        <v>0</v>
      </c>
      <c r="E6" s="39">
        <v>0</v>
      </c>
    </row>
    <row r="7" spans="1:27" ht="15.6" x14ac:dyDescent="0.35">
      <c r="A7" s="36">
        <v>2009</v>
      </c>
      <c r="B7" s="36">
        <v>6209.8</v>
      </c>
      <c r="C7" s="5">
        <v>2058.1000000000058</v>
      </c>
      <c r="D7" s="39">
        <v>1</v>
      </c>
      <c r="E7" s="39">
        <v>0</v>
      </c>
      <c r="J7" s="38" t="s">
        <v>74</v>
      </c>
      <c r="K7" s="72" t="s">
        <v>86</v>
      </c>
      <c r="L7" s="72" t="s">
        <v>87</v>
      </c>
    </row>
    <row r="8" spans="1:27" ht="17.399999999999999" thickBot="1" x14ac:dyDescent="0.4">
      <c r="A8" s="36">
        <v>2010</v>
      </c>
      <c r="B8" s="36">
        <v>7982.2</v>
      </c>
      <c r="C8" s="5">
        <v>-3228.2000000000044</v>
      </c>
      <c r="D8" s="39">
        <v>0</v>
      </c>
      <c r="E8" s="39">
        <v>0</v>
      </c>
      <c r="H8" s="5" t="s">
        <v>73</v>
      </c>
      <c r="I8" s="5">
        <v>1</v>
      </c>
      <c r="J8" s="5">
        <v>662.60573864770413</v>
      </c>
      <c r="K8" s="5">
        <v>0</v>
      </c>
      <c r="L8" s="5">
        <v>1</v>
      </c>
    </row>
    <row r="9" spans="1:27" ht="18" thickTop="1" thickBot="1" x14ac:dyDescent="0.4">
      <c r="A9" s="36">
        <v>2011</v>
      </c>
      <c r="B9" s="36">
        <v>9656.2999999999993</v>
      </c>
      <c r="C9" s="5">
        <v>1713.5999999999985</v>
      </c>
      <c r="D9" s="39">
        <v>0</v>
      </c>
      <c r="E9" s="39">
        <v>0</v>
      </c>
      <c r="H9" s="46" t="s">
        <v>88</v>
      </c>
      <c r="I9" s="43">
        <f>E18+D18*J8+C18*K8+B18*L8</f>
        <v>8097.7284756902945</v>
      </c>
    </row>
    <row r="10" spans="1:27" ht="16.8" thickTop="1" thickBot="1" x14ac:dyDescent="0.4">
      <c r="A10" s="36">
        <v>2012</v>
      </c>
      <c r="B10" s="37">
        <v>10084.8629609</v>
      </c>
      <c r="C10" s="5">
        <v>1695.6000000000058</v>
      </c>
      <c r="D10" s="39">
        <v>0</v>
      </c>
      <c r="E10" s="39">
        <v>0</v>
      </c>
      <c r="H10" s="46" t="s">
        <v>89</v>
      </c>
      <c r="I10" s="43">
        <v>8393.4108784662603</v>
      </c>
    </row>
    <row r="11" spans="1:27" ht="15" thickTop="1" x14ac:dyDescent="0.3">
      <c r="A11" s="36">
        <v>2013</v>
      </c>
      <c r="B11" s="37">
        <v>9525.0478595999994</v>
      </c>
      <c r="C11" s="5">
        <v>1515.6999999999971</v>
      </c>
      <c r="D11" s="39">
        <v>0</v>
      </c>
      <c r="E11" s="39">
        <v>0</v>
      </c>
    </row>
    <row r="12" spans="1:27" x14ac:dyDescent="0.3">
      <c r="A12" s="36">
        <v>2014</v>
      </c>
      <c r="B12" s="37">
        <v>8947.7364885999996</v>
      </c>
      <c r="C12" s="5">
        <v>767.20411147509731</v>
      </c>
      <c r="D12" s="39">
        <v>0</v>
      </c>
      <c r="E12" s="39">
        <v>0</v>
      </c>
    </row>
    <row r="13" spans="1:27" ht="16.2" x14ac:dyDescent="0.3">
      <c r="A13" s="36">
        <v>2015</v>
      </c>
      <c r="B13" s="37">
        <v>7848.3547778999991</v>
      </c>
      <c r="C13" s="5">
        <v>323.09334284420038</v>
      </c>
      <c r="D13" s="39">
        <v>0</v>
      </c>
      <c r="E13" s="39">
        <v>1</v>
      </c>
      <c r="G13" s="42" t="s">
        <v>90</v>
      </c>
      <c r="N13" s="76" t="s">
        <v>93</v>
      </c>
    </row>
    <row r="14" spans="1:27" x14ac:dyDescent="0.3">
      <c r="A14" s="36">
        <v>2016</v>
      </c>
      <c r="B14" s="37">
        <v>7700.6521864999995</v>
      </c>
      <c r="C14" s="5">
        <v>-1118.5164172023942</v>
      </c>
      <c r="D14" s="39">
        <v>0</v>
      </c>
      <c r="E14" s="39">
        <v>1</v>
      </c>
      <c r="G14" s="76" t="s">
        <v>91</v>
      </c>
      <c r="H14" s="39">
        <v>1</v>
      </c>
      <c r="I14" s="5">
        <v>1992.6000000000022</v>
      </c>
      <c r="J14" s="39">
        <v>0</v>
      </c>
      <c r="K14" s="39">
        <v>0</v>
      </c>
      <c r="N14" s="39">
        <v>1</v>
      </c>
      <c r="O14" s="39">
        <v>1</v>
      </c>
      <c r="P14" s="39">
        <v>1</v>
      </c>
      <c r="Q14" s="39">
        <v>1</v>
      </c>
      <c r="R14" s="39">
        <v>1</v>
      </c>
      <c r="S14" s="39">
        <v>1</v>
      </c>
      <c r="T14" s="39">
        <v>1</v>
      </c>
      <c r="U14" s="39">
        <v>1</v>
      </c>
      <c r="V14" s="39">
        <v>1</v>
      </c>
      <c r="W14" s="39">
        <v>1</v>
      </c>
      <c r="X14" s="39">
        <v>1</v>
      </c>
      <c r="Y14" s="39">
        <v>1</v>
      </c>
      <c r="Z14" s="39">
        <v>1</v>
      </c>
      <c r="AA14" s="39">
        <v>1</v>
      </c>
    </row>
    <row r="15" spans="1:27" x14ac:dyDescent="0.3">
      <c r="A15" s="36">
        <v>2017</v>
      </c>
      <c r="B15" s="37">
        <v>8269.5079999999998</v>
      </c>
      <c r="C15" s="5">
        <v>-74.136786629605922</v>
      </c>
      <c r="D15" s="39">
        <v>0</v>
      </c>
      <c r="E15" s="39">
        <v>1</v>
      </c>
      <c r="H15" s="39">
        <v>1</v>
      </c>
      <c r="I15" s="5">
        <v>2102.8999999999978</v>
      </c>
      <c r="J15" s="39">
        <v>0</v>
      </c>
      <c r="K15" s="39">
        <v>0</v>
      </c>
      <c r="N15" s="5">
        <v>1992.6000000000022</v>
      </c>
      <c r="O15" s="5">
        <v>2102.8999999999978</v>
      </c>
      <c r="P15" s="5">
        <v>2002.7000000000007</v>
      </c>
      <c r="Q15" s="5">
        <v>2724.0999999999985</v>
      </c>
      <c r="R15" s="5">
        <v>3084.0999999999985</v>
      </c>
      <c r="S15" s="5">
        <v>2058.1000000000058</v>
      </c>
      <c r="T15" s="5">
        <v>-3228.2000000000044</v>
      </c>
      <c r="U15" s="5">
        <v>1713.5999999999985</v>
      </c>
      <c r="V15" s="5">
        <v>1695.6000000000058</v>
      </c>
      <c r="W15" s="5">
        <v>1515.6999999999971</v>
      </c>
      <c r="X15" s="5">
        <v>767.20411147509731</v>
      </c>
      <c r="Y15" s="5">
        <v>323.09334284420038</v>
      </c>
      <c r="Z15" s="5">
        <v>-1118.5164172023942</v>
      </c>
      <c r="AA15" s="5">
        <v>-74.136786629605922</v>
      </c>
    </row>
    <row r="16" spans="1:27" ht="15" thickBot="1" x14ac:dyDescent="0.35">
      <c r="H16" s="39">
        <v>1</v>
      </c>
      <c r="I16" s="5">
        <v>2002.7000000000007</v>
      </c>
      <c r="J16" s="39">
        <v>0</v>
      </c>
      <c r="K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1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</row>
    <row r="17" spans="1:27" ht="15.6" thickTop="1" thickBot="1" x14ac:dyDescent="0.35">
      <c r="B17" s="46" t="s">
        <v>45</v>
      </c>
      <c r="C17" s="46" t="s">
        <v>40</v>
      </c>
      <c r="D17" s="46" t="s">
        <v>41</v>
      </c>
      <c r="E17" s="46" t="s">
        <v>42</v>
      </c>
      <c r="H17" s="39">
        <v>1</v>
      </c>
      <c r="I17" s="5">
        <v>2724.0999999999985</v>
      </c>
      <c r="J17" s="39">
        <v>0</v>
      </c>
      <c r="K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1</v>
      </c>
      <c r="Z17" s="39">
        <v>1</v>
      </c>
      <c r="AA17" s="39">
        <v>1</v>
      </c>
    </row>
    <row r="18" spans="1:27" ht="15" thickTop="1" x14ac:dyDescent="0.3">
      <c r="B18" s="43">
        <f t="array" ref="B18:E22">LINEST(B2:B15,C2:E15,1,1)</f>
        <v>-447.86802024678707</v>
      </c>
      <c r="C18" s="43">
        <v>-2567.617459308899</v>
      </c>
      <c r="D18" s="43">
        <v>0.16612104384232315</v>
      </c>
      <c r="E18" s="43">
        <v>8435.5237389770118</v>
      </c>
      <c r="H18" s="39">
        <v>1</v>
      </c>
      <c r="I18" s="5">
        <v>3084.0999999999985</v>
      </c>
      <c r="J18" s="39">
        <v>0</v>
      </c>
      <c r="K18" s="39">
        <v>0</v>
      </c>
    </row>
    <row r="19" spans="1:27" x14ac:dyDescent="0.3">
      <c r="B19" s="58">
        <v>1024.0010223650759</v>
      </c>
      <c r="C19" s="58">
        <v>1475.162027588995</v>
      </c>
      <c r="D19" s="58">
        <v>0.26000382301586</v>
      </c>
      <c r="E19" s="58">
        <v>578.84274560061249</v>
      </c>
      <c r="H19" s="39">
        <v>1</v>
      </c>
      <c r="I19" s="5">
        <v>2058.1000000000058</v>
      </c>
      <c r="J19" s="39">
        <v>1</v>
      </c>
      <c r="K19" s="39">
        <v>0</v>
      </c>
    </row>
    <row r="20" spans="1:27" x14ac:dyDescent="0.3">
      <c r="B20" s="59">
        <v>0.26186136704749446</v>
      </c>
      <c r="C20" s="59">
        <v>1398.059390814542</v>
      </c>
      <c r="D20" s="58" t="e">
        <v>#N/A</v>
      </c>
      <c r="E20" s="58" t="e">
        <v>#N/A</v>
      </c>
      <c r="H20" s="39">
        <v>1</v>
      </c>
      <c r="I20" s="5">
        <v>-3228.2000000000044</v>
      </c>
      <c r="J20" s="39">
        <v>0</v>
      </c>
      <c r="K20" s="39">
        <v>0</v>
      </c>
      <c r="N20" s="42" t="s">
        <v>92</v>
      </c>
      <c r="T20" s="42" t="s">
        <v>95</v>
      </c>
    </row>
    <row r="21" spans="1:27" ht="16.2" x14ac:dyDescent="0.3">
      <c r="B21" s="58">
        <v>1.182530197613721</v>
      </c>
      <c r="C21" s="58">
        <v>10</v>
      </c>
      <c r="D21" s="58" t="e">
        <v>#N/A</v>
      </c>
      <c r="E21" s="58" t="e">
        <v>#N/A</v>
      </c>
      <c r="H21" s="39">
        <v>1</v>
      </c>
      <c r="I21" s="5">
        <v>1713.5999999999985</v>
      </c>
      <c r="J21" s="39">
        <v>0</v>
      </c>
      <c r="K21" s="39">
        <v>0</v>
      </c>
      <c r="N21" s="76" t="s">
        <v>94</v>
      </c>
      <c r="O21" s="5">
        <f t="array" ref="O21:R24">MMULT(N14:AA17,H14:K27)</f>
        <v>14</v>
      </c>
      <c r="P21" s="5">
        <v>15558.844250487298</v>
      </c>
      <c r="Q21" s="5">
        <v>1</v>
      </c>
      <c r="R21" s="5">
        <v>3</v>
      </c>
      <c r="T21" s="76" t="s">
        <v>96</v>
      </c>
      <c r="U21" s="5">
        <f t="array" ref="U21:X24">MINVERSE(O21:R24)</f>
        <v>0.17142333802683105</v>
      </c>
      <c r="V21" s="5">
        <v>-4.9702036555926098E-5</v>
      </c>
      <c r="W21" s="5">
        <v>-6.9131576591079213E-2</v>
      </c>
      <c r="X21" s="5">
        <v>-0.18582963669295827</v>
      </c>
    </row>
    <row r="22" spans="1:27" x14ac:dyDescent="0.3">
      <c r="B22" s="58">
        <v>6934014.3587731831</v>
      </c>
      <c r="C22" s="59">
        <v>19545700.602447283</v>
      </c>
      <c r="D22" s="58" t="e">
        <v>#N/A</v>
      </c>
      <c r="E22" s="58" t="e">
        <v>#N/A</v>
      </c>
      <c r="H22" s="39">
        <v>1</v>
      </c>
      <c r="I22" s="5">
        <v>1695.6000000000058</v>
      </c>
      <c r="J22" s="39">
        <v>0</v>
      </c>
      <c r="K22" s="39">
        <v>0</v>
      </c>
      <c r="O22" s="5">
        <v>15558.844250487298</v>
      </c>
      <c r="P22" s="5">
        <v>54051292.435537621</v>
      </c>
      <c r="Q22" s="5">
        <v>2058.1000000000058</v>
      </c>
      <c r="R22" s="5">
        <v>-869.55986098779977</v>
      </c>
      <c r="U22" s="5">
        <v>-4.9702036555926085E-5</v>
      </c>
      <c r="V22" s="5">
        <v>3.4586628209376312E-8</v>
      </c>
      <c r="W22" s="5">
        <v>-2.1480702961791503E-5</v>
      </c>
      <c r="X22" s="5">
        <v>5.9727084428520083E-5</v>
      </c>
    </row>
    <row r="23" spans="1:27" x14ac:dyDescent="0.3">
      <c r="H23" s="39">
        <v>1</v>
      </c>
      <c r="I23" s="5">
        <v>1515.6999999999971</v>
      </c>
      <c r="J23" s="39">
        <v>0</v>
      </c>
      <c r="K23" s="39">
        <v>0</v>
      </c>
      <c r="O23" s="5">
        <v>1</v>
      </c>
      <c r="P23" s="5">
        <v>2058.1000000000058</v>
      </c>
      <c r="Q23" s="5">
        <v>1</v>
      </c>
      <c r="R23" s="5">
        <v>0</v>
      </c>
      <c r="U23" s="5">
        <v>-6.9131576591079241E-2</v>
      </c>
      <c r="V23" s="5">
        <v>-2.1480702961791503E-5</v>
      </c>
      <c r="W23" s="5">
        <v>1.1133410113567423</v>
      </c>
      <c r="X23" s="5">
        <v>6.2905324230620702E-2</v>
      </c>
    </row>
    <row r="24" spans="1:27" x14ac:dyDescent="0.3">
      <c r="H24" s="39">
        <v>1</v>
      </c>
      <c r="I24" s="5">
        <v>767.20411147509731</v>
      </c>
      <c r="J24" s="39">
        <v>0</v>
      </c>
      <c r="K24" s="39">
        <v>0</v>
      </c>
      <c r="O24" s="5">
        <v>3</v>
      </c>
      <c r="P24" s="5">
        <v>-869.55986098779977</v>
      </c>
      <c r="Q24" s="5">
        <v>0</v>
      </c>
      <c r="R24" s="5">
        <v>3</v>
      </c>
      <c r="U24" s="5">
        <v>-0.18582963669295821</v>
      </c>
      <c r="V24" s="5">
        <v>5.9727084428520083E-5</v>
      </c>
      <c r="W24" s="5">
        <v>6.2905324230620688E-2</v>
      </c>
      <c r="X24" s="5">
        <v>0.5364750617705818</v>
      </c>
    </row>
    <row r="25" spans="1:27" x14ac:dyDescent="0.3">
      <c r="H25" s="39">
        <v>1</v>
      </c>
      <c r="I25" s="5">
        <v>323.09334284420038</v>
      </c>
      <c r="J25" s="39">
        <v>0</v>
      </c>
      <c r="K25" s="39">
        <v>1</v>
      </c>
    </row>
    <row r="26" spans="1:27" x14ac:dyDescent="0.3">
      <c r="H26" s="39">
        <v>1</v>
      </c>
      <c r="I26" s="5">
        <v>-1118.5164172023942</v>
      </c>
      <c r="J26" s="39">
        <v>0</v>
      </c>
      <c r="K26" s="39">
        <v>1</v>
      </c>
      <c r="V26" s="42" t="s">
        <v>101</v>
      </c>
    </row>
    <row r="27" spans="1:27" ht="16.8" x14ac:dyDescent="0.35">
      <c r="H27" s="39">
        <v>1</v>
      </c>
      <c r="I27" s="5">
        <v>-74.136786629605922</v>
      </c>
      <c r="J27" s="39">
        <v>0</v>
      </c>
      <c r="K27" s="39">
        <v>1</v>
      </c>
      <c r="N27" s="42" t="s">
        <v>97</v>
      </c>
      <c r="V27" s="76" t="s">
        <v>102</v>
      </c>
      <c r="W27" s="5">
        <f>C20*SQRT(1 + Q31)</f>
        <v>1633.223947636139</v>
      </c>
    </row>
    <row r="28" spans="1:27" ht="16.8" x14ac:dyDescent="0.35">
      <c r="M28" s="77" t="s">
        <v>98</v>
      </c>
      <c r="N28" s="5">
        <v>1</v>
      </c>
      <c r="P28" s="77" t="s">
        <v>99</v>
      </c>
      <c r="Q28" s="5">
        <f t="array" ref="Q28:T28">MMULT(I8:L8,U21:X24)</f>
        <v>-4.7339153310561766E-2</v>
      </c>
      <c r="R28" s="5">
        <v>3.2942346204601293E-5</v>
      </c>
      <c r="S28" s="5">
        <v>-2.0459489413128307E-2</v>
      </c>
      <c r="T28" s="5">
        <v>0.39022093397265689</v>
      </c>
    </row>
    <row r="29" spans="1:27" x14ac:dyDescent="0.3">
      <c r="N29" s="5">
        <v>662.60573864770413</v>
      </c>
    </row>
    <row r="30" spans="1:27" x14ac:dyDescent="0.3">
      <c r="N30" s="5">
        <v>0</v>
      </c>
    </row>
    <row r="31" spans="1:27" ht="16.8" x14ac:dyDescent="0.35">
      <c r="N31" s="5">
        <v>1</v>
      </c>
      <c r="P31" s="77" t="s">
        <v>100</v>
      </c>
      <c r="Q31" s="5">
        <f>MMULT(Q28:T28,N28:N31)</f>
        <v>0.36470956830178336</v>
      </c>
    </row>
    <row r="32" spans="1:27" x14ac:dyDescent="0.3">
      <c r="A32" s="38" t="s">
        <v>15</v>
      </c>
      <c r="B32" s="38" t="s">
        <v>16</v>
      </c>
      <c r="C32" s="38" t="s">
        <v>17</v>
      </c>
      <c r="D32" s="38" t="s">
        <v>30</v>
      </c>
      <c r="E32" s="38" t="s">
        <v>31</v>
      </c>
    </row>
    <row r="33" spans="1:5" x14ac:dyDescent="0.3">
      <c r="A33" s="39">
        <v>2003</v>
      </c>
      <c r="B33" s="36">
        <v>6540.2</v>
      </c>
      <c r="C33" s="36">
        <v>6390</v>
      </c>
      <c r="D33" s="39">
        <v>0</v>
      </c>
      <c r="E33" s="39">
        <v>0</v>
      </c>
    </row>
    <row r="34" spans="1:5" x14ac:dyDescent="0.3">
      <c r="A34" s="39">
        <v>2004</v>
      </c>
      <c r="B34" s="36">
        <v>6679</v>
      </c>
      <c r="C34" s="36">
        <v>6540.2</v>
      </c>
      <c r="D34" s="39">
        <v>0</v>
      </c>
      <c r="E34" s="39">
        <v>0</v>
      </c>
    </row>
    <row r="35" spans="1:5" x14ac:dyDescent="0.3">
      <c r="A35" s="39">
        <v>2005</v>
      </c>
      <c r="B35" s="36">
        <v>6775.3</v>
      </c>
      <c r="C35" s="36">
        <v>6679</v>
      </c>
      <c r="D35" s="39">
        <v>0</v>
      </c>
      <c r="E35" s="39">
        <v>0</v>
      </c>
    </row>
    <row r="36" spans="1:5" x14ac:dyDescent="0.3">
      <c r="A36" s="39">
        <v>2006</v>
      </c>
      <c r="B36" s="36">
        <v>6931.9</v>
      </c>
      <c r="C36" s="36">
        <v>6775.3</v>
      </c>
      <c r="D36" s="39">
        <v>0</v>
      </c>
      <c r="E36" s="39">
        <v>0</v>
      </c>
    </row>
    <row r="37" spans="1:5" x14ac:dyDescent="0.3">
      <c r="A37" s="39">
        <v>2007</v>
      </c>
      <c r="B37" s="36">
        <v>7120.7</v>
      </c>
      <c r="C37" s="36">
        <v>6931.9</v>
      </c>
      <c r="D37" s="39">
        <v>0</v>
      </c>
      <c r="E37" s="39">
        <v>0</v>
      </c>
    </row>
    <row r="38" spans="1:5" x14ac:dyDescent="0.3">
      <c r="A38" s="39">
        <v>2008</v>
      </c>
      <c r="B38" s="36">
        <v>7359.9</v>
      </c>
      <c r="C38" s="36">
        <v>7120.7</v>
      </c>
      <c r="D38" s="39">
        <v>0</v>
      </c>
      <c r="E38" s="39">
        <v>0</v>
      </c>
    </row>
    <row r="39" spans="1:5" x14ac:dyDescent="0.3">
      <c r="A39" s="39">
        <v>2009</v>
      </c>
      <c r="B39" s="36">
        <v>7314.5</v>
      </c>
      <c r="C39" s="36">
        <v>7359.9</v>
      </c>
      <c r="D39" s="39">
        <v>1</v>
      </c>
      <c r="E39" s="39">
        <v>0</v>
      </c>
    </row>
    <row r="40" spans="1:5" x14ac:dyDescent="0.3">
      <c r="A40" s="39">
        <v>2010</v>
      </c>
      <c r="B40" s="36">
        <v>7205.7</v>
      </c>
      <c r="C40" s="36">
        <v>7314.5</v>
      </c>
      <c r="D40" s="39">
        <v>0</v>
      </c>
      <c r="E40" s="39">
        <v>0</v>
      </c>
    </row>
    <row r="41" spans="1:5" x14ac:dyDescent="0.3">
      <c r="A41" s="39">
        <v>2011</v>
      </c>
      <c r="B41" s="36">
        <v>7306.7</v>
      </c>
      <c r="C41" s="36">
        <v>7205.7</v>
      </c>
      <c r="D41" s="39">
        <v>0</v>
      </c>
      <c r="E41" s="39">
        <v>0</v>
      </c>
    </row>
    <row r="42" spans="1:5" x14ac:dyDescent="0.3">
      <c r="A42" s="39">
        <v>2012</v>
      </c>
      <c r="B42" s="37">
        <v>7498.7</v>
      </c>
      <c r="C42" s="36">
        <v>7306.7</v>
      </c>
      <c r="D42" s="39">
        <v>0</v>
      </c>
      <c r="E42" s="39">
        <v>0</v>
      </c>
    </row>
    <row r="43" spans="1:5" x14ac:dyDescent="0.3">
      <c r="A43" s="39">
        <v>2013</v>
      </c>
      <c r="B43" s="37">
        <v>7562.6711761688503</v>
      </c>
      <c r="C43" s="37">
        <v>7498.7</v>
      </c>
      <c r="D43" s="39">
        <v>0</v>
      </c>
      <c r="E43" s="39">
        <v>0</v>
      </c>
    </row>
    <row r="44" spans="1:5" x14ac:dyDescent="0.3">
      <c r="A44" s="39">
        <v>2014</v>
      </c>
      <c r="B44" s="37">
        <v>7401.9951260520202</v>
      </c>
      <c r="C44" s="37">
        <v>7562.6711761688503</v>
      </c>
      <c r="D44" s="39">
        <v>0</v>
      </c>
      <c r="E44" s="39">
        <v>0</v>
      </c>
    </row>
    <row r="45" spans="1:5" x14ac:dyDescent="0.3">
      <c r="A45" s="39">
        <v>2015</v>
      </c>
      <c r="B45" s="37">
        <v>7170.7326642855796</v>
      </c>
      <c r="C45" s="37">
        <v>7401.9951260520202</v>
      </c>
      <c r="D45" s="39">
        <v>0</v>
      </c>
      <c r="E45" s="39">
        <v>1</v>
      </c>
    </row>
    <row r="46" spans="1:5" x14ac:dyDescent="0.3">
      <c r="A46" s="39">
        <v>2016</v>
      </c>
      <c r="B46" s="37">
        <v>7238.2651898854401</v>
      </c>
      <c r="C46" s="37">
        <v>7170.7326642855796</v>
      </c>
      <c r="D46" s="39">
        <v>0</v>
      </c>
      <c r="E46" s="39">
        <v>1</v>
      </c>
    </row>
    <row r="47" spans="1:5" x14ac:dyDescent="0.3">
      <c r="A47" s="39">
        <v>2017</v>
      </c>
      <c r="B47" s="37">
        <v>7264.2719268000001</v>
      </c>
      <c r="C47" s="37">
        <v>7238.2651898854401</v>
      </c>
      <c r="D47" s="39">
        <v>0</v>
      </c>
      <c r="E47" s="39">
        <v>1</v>
      </c>
    </row>
    <row r="48" spans="1:5" ht="15" thickBot="1" x14ac:dyDescent="0.35"/>
    <row r="49" spans="1:26" ht="15" thickBot="1" x14ac:dyDescent="0.35">
      <c r="A49" s="82" t="s">
        <v>70</v>
      </c>
      <c r="B49" s="83" t="s">
        <v>43</v>
      </c>
      <c r="C49" s="84" t="s">
        <v>44</v>
      </c>
    </row>
    <row r="50" spans="1:26" ht="16.2" x14ac:dyDescent="0.3">
      <c r="A50" s="81">
        <f t="array" ref="A50:C54">LINEST(B33:B47,C33:E47,0,1)</f>
        <v>-141.20014024193026</v>
      </c>
      <c r="B50" s="81">
        <v>-141.86639033044486</v>
      </c>
      <c r="C50" s="81">
        <v>1.0131070245968619</v>
      </c>
      <c r="F50" s="42" t="s">
        <v>90</v>
      </c>
      <c r="L50" s="76" t="s">
        <v>93</v>
      </c>
    </row>
    <row r="51" spans="1:26" x14ac:dyDescent="0.3">
      <c r="A51" s="79">
        <v>88.015840747038169</v>
      </c>
      <c r="B51" s="79">
        <v>140.68530636448227</v>
      </c>
      <c r="C51" s="79">
        <v>5.7467663531035442E-3</v>
      </c>
      <c r="F51" s="76" t="s">
        <v>91</v>
      </c>
      <c r="G51" s="36">
        <v>6390</v>
      </c>
      <c r="H51" s="39">
        <v>0</v>
      </c>
      <c r="I51" s="39">
        <v>0</v>
      </c>
      <c r="L51" s="36">
        <v>6390</v>
      </c>
      <c r="M51" s="36">
        <v>6540.2</v>
      </c>
      <c r="N51" s="36">
        <v>6679</v>
      </c>
      <c r="O51" s="36">
        <v>6775.3</v>
      </c>
      <c r="P51" s="36">
        <v>6931.9</v>
      </c>
      <c r="Q51" s="36">
        <v>7120.7</v>
      </c>
      <c r="R51" s="36">
        <v>7359.9</v>
      </c>
      <c r="S51" s="36">
        <v>7314.5</v>
      </c>
      <c r="T51" s="36">
        <v>7205.7</v>
      </c>
      <c r="U51" s="36">
        <v>7306.7</v>
      </c>
      <c r="V51" s="37">
        <v>7498.7</v>
      </c>
      <c r="W51" s="37">
        <v>7562.6711761688503</v>
      </c>
      <c r="X51" s="37">
        <v>7401.9951260520202</v>
      </c>
      <c r="Y51" s="37">
        <v>7170.7326642855796</v>
      </c>
      <c r="Z51" s="37">
        <v>7238.2651898854401</v>
      </c>
    </row>
    <row r="52" spans="1:26" x14ac:dyDescent="0.3">
      <c r="A52" s="80">
        <v>0.99971936106016668</v>
      </c>
      <c r="B52" s="78">
        <v>134.17688129860107</v>
      </c>
      <c r="C52" s="79" t="e">
        <v>#N/A</v>
      </c>
      <c r="G52" s="36">
        <v>6540.2</v>
      </c>
      <c r="H52" s="39">
        <v>0</v>
      </c>
      <c r="I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1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0</v>
      </c>
    </row>
    <row r="53" spans="1:26" x14ac:dyDescent="0.3">
      <c r="A53" s="80">
        <v>14249.189533767762</v>
      </c>
      <c r="B53" s="80">
        <v>12</v>
      </c>
      <c r="C53" s="79" t="e">
        <v>#N/A</v>
      </c>
      <c r="G53" s="36">
        <v>6679</v>
      </c>
      <c r="H53" s="39">
        <v>0</v>
      </c>
      <c r="I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39">
        <v>1</v>
      </c>
      <c r="Y53" s="39">
        <v>1</v>
      </c>
      <c r="Z53" s="39">
        <v>1</v>
      </c>
    </row>
    <row r="54" spans="1:26" x14ac:dyDescent="0.3">
      <c r="A54" s="79">
        <v>769603093.02750671</v>
      </c>
      <c r="B54" s="79">
        <v>216041.22570022655</v>
      </c>
      <c r="C54" s="79" t="e">
        <v>#N/A</v>
      </c>
      <c r="G54" s="36">
        <v>6775.3</v>
      </c>
      <c r="H54" s="39">
        <v>0</v>
      </c>
      <c r="I54" s="39">
        <v>0</v>
      </c>
    </row>
    <row r="55" spans="1:26" x14ac:dyDescent="0.3">
      <c r="G55" s="36">
        <v>6931.9</v>
      </c>
      <c r="H55" s="39">
        <v>0</v>
      </c>
      <c r="I55" s="39">
        <v>0</v>
      </c>
    </row>
    <row r="56" spans="1:26" ht="15.6" x14ac:dyDescent="0.35">
      <c r="B56" s="38" t="s">
        <v>105</v>
      </c>
      <c r="C56" s="72" t="s">
        <v>86</v>
      </c>
      <c r="D56" s="72" t="s">
        <v>87</v>
      </c>
      <c r="G56" s="36">
        <v>7120.7</v>
      </c>
      <c r="H56" s="39">
        <v>0</v>
      </c>
      <c r="I56" s="39">
        <v>0</v>
      </c>
      <c r="L56" s="42" t="s">
        <v>92</v>
      </c>
      <c r="R56" s="42" t="s">
        <v>95</v>
      </c>
    </row>
    <row r="57" spans="1:26" ht="17.399999999999999" thickBot="1" x14ac:dyDescent="0.4">
      <c r="A57" s="5" t="s">
        <v>73</v>
      </c>
      <c r="B57" s="9">
        <v>7264.2719268000001</v>
      </c>
      <c r="C57" s="5">
        <v>0</v>
      </c>
      <c r="D57" s="5">
        <v>1</v>
      </c>
      <c r="G57" s="36">
        <v>7359.9</v>
      </c>
      <c r="H57" s="39">
        <v>1</v>
      </c>
      <c r="I57" s="39">
        <v>0</v>
      </c>
      <c r="L57" s="76" t="s">
        <v>94</v>
      </c>
      <c r="M57" s="5">
        <f t="array" ref="M57:O59">MMULT(L51:Z53,G51:I65)</f>
        <v>757881587.62671244</v>
      </c>
      <c r="N57" s="5">
        <v>7359.9</v>
      </c>
      <c r="O57" s="5">
        <v>21810.99298022304</v>
      </c>
      <c r="R57" s="76" t="s">
        <v>96</v>
      </c>
      <c r="S57" s="5">
        <f t="array" ref="S57:U59">MINVERSE(M57:O59)</f>
        <v>1.8343900842141006E-9</v>
      </c>
      <c r="T57" s="5">
        <v>-1.3500927580807357E-5</v>
      </c>
      <c r="U57" s="5">
        <v>-1.3336623083261499E-5</v>
      </c>
    </row>
    <row r="58" spans="1:26" ht="18" thickTop="1" thickBot="1" x14ac:dyDescent="0.4">
      <c r="A58" s="46" t="s">
        <v>104</v>
      </c>
      <c r="B58" s="43">
        <f>C50*B57+C57*B50+D57*A50</f>
        <v>7218.2847773809308</v>
      </c>
      <c r="G58" s="36">
        <v>7314.5</v>
      </c>
      <c r="H58" s="39">
        <v>0</v>
      </c>
      <c r="I58" s="39">
        <v>0</v>
      </c>
      <c r="M58" s="5">
        <v>7359.9</v>
      </c>
      <c r="N58" s="5">
        <v>1</v>
      </c>
      <c r="O58" s="5">
        <v>0</v>
      </c>
      <c r="S58" s="5">
        <v>-1.3500927580807357E-5</v>
      </c>
      <c r="T58" s="5">
        <v>1.0993654769019841</v>
      </c>
      <c r="U58" s="5">
        <v>9.8156212230496295E-2</v>
      </c>
    </row>
    <row r="59" spans="1:26" ht="16.8" thickTop="1" thickBot="1" x14ac:dyDescent="0.4">
      <c r="A59" s="46" t="s">
        <v>103</v>
      </c>
      <c r="B59" s="43">
        <v>7326.3820647624398</v>
      </c>
      <c r="G59" s="36">
        <v>7205.7</v>
      </c>
      <c r="H59" s="39">
        <v>0</v>
      </c>
      <c r="I59" s="39">
        <v>0</v>
      </c>
      <c r="M59" s="5">
        <v>21810.99298022304</v>
      </c>
      <c r="N59" s="5">
        <v>0</v>
      </c>
      <c r="O59" s="5">
        <v>3</v>
      </c>
      <c r="S59" s="5">
        <v>-1.3336623083261499E-5</v>
      </c>
      <c r="T59" s="5">
        <v>9.8156212230496295E-2</v>
      </c>
      <c r="U59" s="5">
        <v>0.43029499748296574</v>
      </c>
    </row>
    <row r="60" spans="1:26" ht="15" thickTop="1" x14ac:dyDescent="0.3">
      <c r="G60" s="36">
        <v>7306.7</v>
      </c>
      <c r="H60" s="39">
        <v>0</v>
      </c>
      <c r="I60" s="39">
        <v>0</v>
      </c>
    </row>
    <row r="61" spans="1:26" x14ac:dyDescent="0.3">
      <c r="G61" s="37">
        <v>7498.7</v>
      </c>
      <c r="H61" s="39">
        <v>0</v>
      </c>
      <c r="I61" s="39">
        <v>0</v>
      </c>
    </row>
    <row r="62" spans="1:26" x14ac:dyDescent="0.3">
      <c r="G62" s="37">
        <v>7562.6711761688503</v>
      </c>
      <c r="H62" s="39">
        <v>0</v>
      </c>
      <c r="I62" s="39">
        <v>0</v>
      </c>
      <c r="L62" s="42" t="s">
        <v>97</v>
      </c>
      <c r="S62" s="42" t="s">
        <v>101</v>
      </c>
    </row>
    <row r="63" spans="1:26" ht="16.8" x14ac:dyDescent="0.35">
      <c r="G63" s="37">
        <v>7401.9951260520202</v>
      </c>
      <c r="H63" s="39">
        <v>0</v>
      </c>
      <c r="I63" s="39">
        <v>1</v>
      </c>
      <c r="K63" s="77" t="s">
        <v>98</v>
      </c>
      <c r="L63" s="8">
        <v>7264.2719268000001</v>
      </c>
      <c r="N63" s="77" t="s">
        <v>99</v>
      </c>
      <c r="O63" s="5">
        <f t="array" ref="O63:Q63">MMULT(B57:D57,S57:U59)</f>
        <v>-1.111469170472021E-8</v>
      </c>
      <c r="P63" s="5">
        <v>8.1803019477577621E-5</v>
      </c>
      <c r="Q63" s="5">
        <v>0.33341414082091636</v>
      </c>
      <c r="S63" s="76" t="s">
        <v>106</v>
      </c>
      <c r="T63" s="5">
        <f>B52*SQRT(1 + O65)</f>
        <v>154.93412098628792</v>
      </c>
    </row>
    <row r="64" spans="1:26" x14ac:dyDescent="0.3">
      <c r="G64" s="37">
        <v>7170.7326642855796</v>
      </c>
      <c r="H64" s="39">
        <v>0</v>
      </c>
      <c r="I64" s="39">
        <v>1</v>
      </c>
      <c r="L64" s="5">
        <v>0</v>
      </c>
    </row>
    <row r="65" spans="7:15" ht="16.8" x14ac:dyDescent="0.35">
      <c r="G65" s="37">
        <v>7238.2651898854401</v>
      </c>
      <c r="H65" s="39">
        <v>0</v>
      </c>
      <c r="I65" s="39">
        <v>1</v>
      </c>
      <c r="L65" s="5">
        <v>1</v>
      </c>
      <c r="N65" s="77" t="s">
        <v>100</v>
      </c>
      <c r="O65" s="5">
        <f>MMULT(O63:Q63,L63:L65)</f>
        <v>0.33333340067799072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9559-A0D6-423C-872F-5EBF5793DCE3}">
  <dimension ref="B2:M22"/>
  <sheetViews>
    <sheetView workbookViewId="0">
      <selection activeCell="H3" sqref="H3"/>
    </sheetView>
  </sheetViews>
  <sheetFormatPr defaultRowHeight="14.4" x14ac:dyDescent="0.3"/>
  <cols>
    <col min="3" max="3" width="15.6640625" customWidth="1"/>
    <col min="4" max="4" width="17.5546875" customWidth="1"/>
    <col min="5" max="5" width="12.44140625" customWidth="1"/>
    <col min="8" max="8" width="8.88671875" customWidth="1"/>
    <col min="9" max="10" width="12" bestFit="1" customWidth="1"/>
    <col min="11" max="11" width="11.5546875" bestFit="1" customWidth="1"/>
  </cols>
  <sheetData>
    <row r="2" spans="2:11" ht="15" thickBot="1" x14ac:dyDescent="0.35"/>
    <row r="3" spans="2:11" ht="28.2" thickBot="1" x14ac:dyDescent="0.35">
      <c r="B3" s="88" t="s">
        <v>114</v>
      </c>
      <c r="C3" s="89" t="s">
        <v>115</v>
      </c>
      <c r="D3" s="89" t="s">
        <v>116</v>
      </c>
      <c r="E3" s="89" t="s">
        <v>117</v>
      </c>
      <c r="H3" s="88" t="s">
        <v>114</v>
      </c>
      <c r="I3" s="94" t="s">
        <v>123</v>
      </c>
      <c r="J3" s="94" t="s">
        <v>124</v>
      </c>
      <c r="K3" s="94" t="s">
        <v>125</v>
      </c>
    </row>
    <row r="4" spans="2:11" ht="15" thickBot="1" x14ac:dyDescent="0.35">
      <c r="B4" s="87">
        <v>2000</v>
      </c>
      <c r="C4" s="90">
        <v>7305</v>
      </c>
      <c r="D4" s="90">
        <v>4306</v>
      </c>
      <c r="E4" s="90">
        <v>65.272999999999996</v>
      </c>
      <c r="H4" s="87">
        <v>2000</v>
      </c>
      <c r="I4" s="90">
        <f>LN(C4)</f>
        <v>8.8963143241848002</v>
      </c>
      <c r="J4" s="90">
        <f>LN(D4)</f>
        <v>8.367764677924308</v>
      </c>
      <c r="K4" s="90">
        <f>LN(E4)</f>
        <v>4.1785784745141052</v>
      </c>
    </row>
    <row r="5" spans="2:11" ht="15" thickBot="1" x14ac:dyDescent="0.35">
      <c r="B5" s="87">
        <v>2001</v>
      </c>
      <c r="C5" s="90">
        <v>7678</v>
      </c>
      <c r="D5" s="90">
        <v>4979</v>
      </c>
      <c r="E5" s="90">
        <v>65.123999999999995</v>
      </c>
      <c r="H5" s="87">
        <v>2001</v>
      </c>
      <c r="I5" s="90">
        <f t="shared" ref="I5:K15" si="0">LN(C5)</f>
        <v>8.9461143755607431</v>
      </c>
      <c r="J5" s="90">
        <f t="shared" si="0"/>
        <v>8.5129843466421828</v>
      </c>
      <c r="K5" s="90">
        <f t="shared" si="0"/>
        <v>4.1762931448692679</v>
      </c>
    </row>
    <row r="6" spans="2:11" ht="15" thickBot="1" x14ac:dyDescent="0.35">
      <c r="B6" s="87">
        <v>2002</v>
      </c>
      <c r="C6" s="90">
        <v>8042</v>
      </c>
      <c r="D6" s="90">
        <v>5518</v>
      </c>
      <c r="E6" s="90">
        <v>66.266000000000005</v>
      </c>
      <c r="H6" s="87">
        <v>2002</v>
      </c>
      <c r="I6" s="90">
        <f t="shared" si="0"/>
        <v>8.9924330874572185</v>
      </c>
      <c r="J6" s="90">
        <f t="shared" si="0"/>
        <v>8.6157707547772322</v>
      </c>
      <c r="K6" s="90">
        <f t="shared" si="0"/>
        <v>4.1936769451415854</v>
      </c>
    </row>
    <row r="7" spans="2:11" ht="15" thickBot="1" x14ac:dyDescent="0.35">
      <c r="B7" s="87">
        <v>2003</v>
      </c>
      <c r="C7" s="90">
        <v>8633</v>
      </c>
      <c r="D7" s="90">
        <v>6640</v>
      </c>
      <c r="E7" s="90">
        <v>67.152000000000001</v>
      </c>
      <c r="H7" s="87">
        <v>2003</v>
      </c>
      <c r="I7" s="90">
        <f t="shared" si="0"/>
        <v>9.0633473482355225</v>
      </c>
      <c r="J7" s="90">
        <f t="shared" si="0"/>
        <v>8.8008672424704795</v>
      </c>
      <c r="K7" s="90">
        <f t="shared" si="0"/>
        <v>4.2069587065912355</v>
      </c>
    </row>
    <row r="8" spans="2:11" ht="15" thickBot="1" x14ac:dyDescent="0.35">
      <c r="B8" s="87">
        <v>2004</v>
      </c>
      <c r="C8" s="90">
        <v>9250</v>
      </c>
      <c r="D8" s="90">
        <v>8103</v>
      </c>
      <c r="E8" s="90">
        <v>67.134</v>
      </c>
      <c r="H8" s="87">
        <v>2004</v>
      </c>
      <c r="I8" s="90">
        <f t="shared" si="0"/>
        <v>9.1323788305064717</v>
      </c>
      <c r="J8" s="90">
        <f t="shared" si="0"/>
        <v>8.9999896424607257</v>
      </c>
      <c r="K8" s="90">
        <f t="shared" si="0"/>
        <v>4.2066906220536389</v>
      </c>
    </row>
    <row r="9" spans="2:11" ht="15" thickBot="1" x14ac:dyDescent="0.35">
      <c r="B9" s="87">
        <v>2005</v>
      </c>
      <c r="C9" s="90">
        <v>9839</v>
      </c>
      <c r="D9" s="90">
        <v>9207</v>
      </c>
      <c r="E9" s="90">
        <v>68.602999999999994</v>
      </c>
      <c r="H9" s="87">
        <v>2005</v>
      </c>
      <c r="I9" s="90">
        <f t="shared" si="0"/>
        <v>9.1941093588657647</v>
      </c>
      <c r="J9" s="90">
        <f t="shared" si="0"/>
        <v>9.1277193432878452</v>
      </c>
      <c r="K9" s="90">
        <f t="shared" si="0"/>
        <v>4.2283362655540584</v>
      </c>
    </row>
    <row r="10" spans="2:11" ht="15" thickBot="1" x14ac:dyDescent="0.35">
      <c r="B10" s="87">
        <v>2006</v>
      </c>
      <c r="C10" s="90">
        <v>10597</v>
      </c>
      <c r="D10" s="90">
        <v>11277</v>
      </c>
      <c r="E10" s="90">
        <v>69.156999999999996</v>
      </c>
      <c r="H10" s="87">
        <v>2006</v>
      </c>
      <c r="I10" s="90">
        <f t="shared" si="0"/>
        <v>9.2683262211748367</v>
      </c>
      <c r="J10" s="90">
        <f t="shared" si="0"/>
        <v>9.3305205322322884</v>
      </c>
      <c r="K10" s="90">
        <f t="shared" si="0"/>
        <v>4.2363792821992945</v>
      </c>
    </row>
    <row r="11" spans="2:11" ht="15" thickBot="1" x14ac:dyDescent="0.35">
      <c r="B11" s="87">
        <v>2007</v>
      </c>
      <c r="C11" s="90">
        <v>11455</v>
      </c>
      <c r="D11" s="90">
        <v>13403</v>
      </c>
      <c r="E11" s="90">
        <v>70.813999999999993</v>
      </c>
      <c r="H11" s="87">
        <v>2007</v>
      </c>
      <c r="I11" s="90">
        <f t="shared" si="0"/>
        <v>9.3461815948875966</v>
      </c>
      <c r="J11" s="90">
        <f t="shared" si="0"/>
        <v>9.5032338414784974</v>
      </c>
      <c r="K11" s="90">
        <f t="shared" si="0"/>
        <v>4.2600567212646689</v>
      </c>
    </row>
    <row r="12" spans="2:11" ht="15" thickBot="1" x14ac:dyDescent="0.35">
      <c r="B12" s="87">
        <v>2008</v>
      </c>
      <c r="C12" s="90">
        <v>12097</v>
      </c>
      <c r="D12" s="90">
        <v>15527</v>
      </c>
      <c r="E12" s="90">
        <v>70.602999999999994</v>
      </c>
      <c r="H12" s="87">
        <v>2008</v>
      </c>
      <c r="I12" s="90">
        <f t="shared" si="0"/>
        <v>9.4007127669598489</v>
      </c>
      <c r="J12" s="90">
        <f t="shared" si="0"/>
        <v>9.6503357229811702</v>
      </c>
      <c r="K12" s="90">
        <f t="shared" si="0"/>
        <v>4.2570726365142448</v>
      </c>
    </row>
    <row r="13" spans="2:11" ht="15" thickBot="1" x14ac:dyDescent="0.35">
      <c r="B13" s="87">
        <v>2009</v>
      </c>
      <c r="C13" s="90">
        <v>11205</v>
      </c>
      <c r="D13" s="90">
        <v>13100</v>
      </c>
      <c r="E13" s="90">
        <v>69.41</v>
      </c>
      <c r="H13" s="87">
        <v>2009</v>
      </c>
      <c r="I13" s="90">
        <f t="shared" si="0"/>
        <v>9.324115386235027</v>
      </c>
      <c r="J13" s="90">
        <f t="shared" si="0"/>
        <v>9.480367509189243</v>
      </c>
      <c r="K13" s="90">
        <f t="shared" si="0"/>
        <v>4.2400309493514925</v>
      </c>
    </row>
    <row r="14" spans="2:11" ht="15" thickBot="1" x14ac:dyDescent="0.35">
      <c r="B14" s="87">
        <v>2010</v>
      </c>
      <c r="C14" s="90">
        <v>11652</v>
      </c>
      <c r="D14" s="90">
        <v>14444</v>
      </c>
      <c r="E14" s="90">
        <v>69.933999999999997</v>
      </c>
      <c r="H14" s="87">
        <v>2010</v>
      </c>
      <c r="I14" s="90">
        <f t="shared" si="0"/>
        <v>9.3632331180793251</v>
      </c>
      <c r="J14" s="90">
        <f t="shared" si="0"/>
        <v>9.5780343823973482</v>
      </c>
      <c r="K14" s="90">
        <f t="shared" si="0"/>
        <v>4.2475519401371145</v>
      </c>
    </row>
    <row r="15" spans="2:11" ht="15" thickBot="1" x14ac:dyDescent="0.35">
      <c r="B15" s="87">
        <v>2011</v>
      </c>
      <c r="C15" s="90">
        <v>12212</v>
      </c>
      <c r="D15" s="90">
        <v>16120</v>
      </c>
      <c r="E15" s="90">
        <v>70.856999999999999</v>
      </c>
      <c r="H15" s="87">
        <v>2011</v>
      </c>
      <c r="I15" s="90">
        <f t="shared" si="0"/>
        <v>9.4101743538547691</v>
      </c>
      <c r="J15" s="90">
        <f t="shared" si="0"/>
        <v>9.6878160160606193</v>
      </c>
      <c r="K15" s="90">
        <f t="shared" si="0"/>
        <v>4.2606637615385496</v>
      </c>
    </row>
    <row r="16" spans="2:11" ht="15" thickBot="1" x14ac:dyDescent="0.35"/>
    <row r="17" spans="8:13" ht="15.6" thickTop="1" thickBot="1" x14ac:dyDescent="0.35">
      <c r="H17" s="46" t="s">
        <v>121</v>
      </c>
      <c r="I17" s="46" t="s">
        <v>107</v>
      </c>
      <c r="J17" s="46" t="s">
        <v>122</v>
      </c>
    </row>
    <row r="18" spans="8:13" ht="15" thickTop="1" x14ac:dyDescent="0.3">
      <c r="H18" s="59">
        <f t="array" ref="H18:J22">LINEST(I4:I15,J4:K15,1,1)</f>
        <v>0.69747380361099887</v>
      </c>
      <c r="I18" s="59">
        <v>0.34737264549647506</v>
      </c>
      <c r="J18" s="59">
        <v>3.0741340870958651</v>
      </c>
      <c r="L18" s="22" t="s">
        <v>120</v>
      </c>
      <c r="M18" s="43">
        <f>EXP(J18)</f>
        <v>21.631143113646189</v>
      </c>
    </row>
    <row r="19" spans="8:13" x14ac:dyDescent="0.3">
      <c r="H19" s="58">
        <v>0.10997645245467458</v>
      </c>
      <c r="I19" s="58">
        <v>7.2446489498309155E-3</v>
      </c>
      <c r="J19" s="58">
        <v>0.39991808554369285</v>
      </c>
    </row>
    <row r="20" spans="8:13" x14ac:dyDescent="0.3">
      <c r="H20" s="58">
        <v>0.99987876333503334</v>
      </c>
      <c r="I20" s="59">
        <v>2.2483637925773178E-3</v>
      </c>
      <c r="J20" s="58" t="e">
        <v>#N/A</v>
      </c>
    </row>
    <row r="21" spans="8:13" x14ac:dyDescent="0.3">
      <c r="H21" s="58">
        <v>37112.98423003334</v>
      </c>
      <c r="I21" s="59">
        <v>9</v>
      </c>
      <c r="J21" s="58" t="e">
        <v>#N/A</v>
      </c>
    </row>
    <row r="22" spans="8:13" x14ac:dyDescent="0.3">
      <c r="H22" s="58">
        <v>0.37522264318249893</v>
      </c>
      <c r="I22" s="58">
        <v>4.549625769395393E-5</v>
      </c>
      <c r="J22" s="58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F40D-4BA9-44AA-BABC-7355088764CA}">
  <dimension ref="A1:X43"/>
  <sheetViews>
    <sheetView topLeftCell="K1" zoomScale="83" workbookViewId="0">
      <selection activeCell="X14" sqref="X14"/>
    </sheetView>
  </sheetViews>
  <sheetFormatPr defaultRowHeight="14.4" x14ac:dyDescent="0.3"/>
  <cols>
    <col min="1" max="1" width="9" bestFit="1" customWidth="1"/>
    <col min="2" max="2" width="11" bestFit="1" customWidth="1"/>
    <col min="3" max="3" width="9" bestFit="1" customWidth="1"/>
    <col min="4" max="4" width="11" bestFit="1" customWidth="1"/>
    <col min="5" max="5" width="9.109375" bestFit="1" customWidth="1"/>
    <col min="6" max="6" width="9" bestFit="1" customWidth="1"/>
    <col min="9" max="10" width="9" bestFit="1" customWidth="1"/>
    <col min="11" max="11" width="12.77734375" bestFit="1" customWidth="1"/>
    <col min="13" max="13" width="15.109375" bestFit="1" customWidth="1"/>
    <col min="14" max="14" width="9" bestFit="1" customWidth="1"/>
    <col min="19" max="19" width="12.33203125" bestFit="1" customWidth="1"/>
    <col min="21" max="21" width="9.77734375" bestFit="1" customWidth="1"/>
  </cols>
  <sheetData>
    <row r="1" spans="1:21" x14ac:dyDescent="0.3">
      <c r="A1" s="40" t="s">
        <v>15</v>
      </c>
      <c r="B1" s="40" t="s">
        <v>29</v>
      </c>
      <c r="C1" s="40" t="s">
        <v>32</v>
      </c>
      <c r="E1" s="38" t="s">
        <v>46</v>
      </c>
      <c r="I1" s="38" t="s">
        <v>15</v>
      </c>
      <c r="J1" s="38" t="s">
        <v>37</v>
      </c>
      <c r="K1" s="38" t="s">
        <v>38</v>
      </c>
      <c r="M1" s="38" t="s">
        <v>55</v>
      </c>
      <c r="Q1" s="38" t="s">
        <v>15</v>
      </c>
      <c r="R1" s="38" t="s">
        <v>16</v>
      </c>
      <c r="S1" s="38" t="s">
        <v>17</v>
      </c>
      <c r="U1" s="38" t="s">
        <v>56</v>
      </c>
    </row>
    <row r="2" spans="1:21" x14ac:dyDescent="0.3">
      <c r="A2" s="48">
        <v>2003</v>
      </c>
      <c r="B2" s="48">
        <v>11159.8</v>
      </c>
      <c r="C2" s="48">
        <v>27312.3</v>
      </c>
      <c r="D2" s="47"/>
      <c r="E2" s="36">
        <f t="shared" ref="E2:E16" si="0">ABS(C2)</f>
        <v>27312.3</v>
      </c>
      <c r="I2" s="63">
        <v>2016</v>
      </c>
      <c r="J2" s="64">
        <v>7700.6521864999995</v>
      </c>
      <c r="K2" s="63">
        <v>-74.136786629605922</v>
      </c>
      <c r="M2" s="5">
        <f t="shared" ref="M2:M16" si="1">ABS(K2)</f>
        <v>74.136786629605922</v>
      </c>
      <c r="Q2" s="63">
        <v>2003</v>
      </c>
      <c r="R2" s="63">
        <v>6540.2</v>
      </c>
      <c r="S2" s="63">
        <v>6390</v>
      </c>
      <c r="U2" s="5">
        <f t="shared" ref="U2:U16" si="2">ABS(S2)</f>
        <v>6390</v>
      </c>
    </row>
    <row r="3" spans="1:21" x14ac:dyDescent="0.3">
      <c r="A3" s="48">
        <v>2004</v>
      </c>
      <c r="B3" s="48">
        <v>12550.7</v>
      </c>
      <c r="C3" s="48">
        <v>29304.9</v>
      </c>
      <c r="D3" s="47"/>
      <c r="E3" s="36">
        <f t="shared" si="0"/>
        <v>29304.9</v>
      </c>
      <c r="I3" s="63">
        <v>2014</v>
      </c>
      <c r="J3" s="64">
        <v>8947.7364885999996</v>
      </c>
      <c r="K3" s="63">
        <v>323.09334284420038</v>
      </c>
      <c r="M3" s="5">
        <f t="shared" si="1"/>
        <v>323.09334284420038</v>
      </c>
      <c r="Q3" s="63">
        <v>2004</v>
      </c>
      <c r="R3" s="63">
        <v>6679</v>
      </c>
      <c r="S3" s="63">
        <v>6540.2</v>
      </c>
      <c r="U3" s="5">
        <f t="shared" si="2"/>
        <v>6540.2</v>
      </c>
    </row>
    <row r="4" spans="1:21" x14ac:dyDescent="0.3">
      <c r="A4" s="48">
        <v>2005</v>
      </c>
      <c r="B4" s="48">
        <v>14087.4</v>
      </c>
      <c r="C4" s="48">
        <v>31407.8</v>
      </c>
      <c r="D4" s="47"/>
      <c r="E4" s="36">
        <f t="shared" si="0"/>
        <v>31407.8</v>
      </c>
      <c r="I4" s="63">
        <v>2017</v>
      </c>
      <c r="J4" s="64">
        <v>8269.5079999999998</v>
      </c>
      <c r="K4" s="63">
        <v>662.60573864770413</v>
      </c>
      <c r="M4" s="5">
        <f t="shared" si="1"/>
        <v>662.60573864770413</v>
      </c>
      <c r="Q4" s="63">
        <v>2005</v>
      </c>
      <c r="R4" s="63">
        <v>6775.3</v>
      </c>
      <c r="S4" s="63">
        <v>6679</v>
      </c>
      <c r="U4" s="5">
        <f t="shared" si="2"/>
        <v>6679</v>
      </c>
    </row>
    <row r="5" spans="1:21" x14ac:dyDescent="0.3">
      <c r="A5" s="48">
        <v>2006</v>
      </c>
      <c r="B5" s="48">
        <v>15799.7</v>
      </c>
      <c r="C5" s="48">
        <v>33410.5</v>
      </c>
      <c r="D5" s="47"/>
      <c r="E5" s="36">
        <f t="shared" si="0"/>
        <v>33410.5</v>
      </c>
      <c r="I5" s="63">
        <v>2013</v>
      </c>
      <c r="J5" s="64">
        <v>9525.0478595999994</v>
      </c>
      <c r="K5" s="63">
        <v>767.20411147509731</v>
      </c>
      <c r="M5" s="5">
        <f t="shared" si="1"/>
        <v>767.20411147509731</v>
      </c>
      <c r="Q5" s="63">
        <v>2006</v>
      </c>
      <c r="R5" s="63">
        <v>6931.9</v>
      </c>
      <c r="S5" s="63">
        <v>6775.3</v>
      </c>
      <c r="U5" s="5">
        <f t="shared" si="2"/>
        <v>6775.3</v>
      </c>
    </row>
    <row r="6" spans="1:21" x14ac:dyDescent="0.3">
      <c r="A6" s="48">
        <v>2007</v>
      </c>
      <c r="B6" s="48">
        <v>18060.8</v>
      </c>
      <c r="C6" s="48">
        <v>36134.6</v>
      </c>
      <c r="D6" s="47"/>
      <c r="E6" s="36">
        <f t="shared" si="0"/>
        <v>36134.6</v>
      </c>
      <c r="I6" s="63">
        <v>2015</v>
      </c>
      <c r="J6" s="64">
        <v>7848.3547778999991</v>
      </c>
      <c r="K6" s="63">
        <v>-1118.5164172023942</v>
      </c>
      <c r="M6" s="5">
        <f t="shared" si="1"/>
        <v>1118.5164172023942</v>
      </c>
      <c r="Q6" s="63">
        <v>2007</v>
      </c>
      <c r="R6" s="63">
        <v>7120.7</v>
      </c>
      <c r="S6" s="63">
        <v>6931.9</v>
      </c>
      <c r="U6" s="5">
        <f t="shared" si="2"/>
        <v>6931.9</v>
      </c>
    </row>
    <row r="7" spans="1:21" x14ac:dyDescent="0.3">
      <c r="A7" s="34">
        <v>2010</v>
      </c>
      <c r="B7" s="34">
        <v>19993.8</v>
      </c>
      <c r="C7" s="34">
        <v>38048.6</v>
      </c>
      <c r="D7" s="47"/>
      <c r="E7" s="36">
        <f t="shared" si="0"/>
        <v>38048.6</v>
      </c>
      <c r="I7" s="36">
        <v>2012</v>
      </c>
      <c r="J7" s="37">
        <v>10084.8629609</v>
      </c>
      <c r="K7" s="36">
        <v>1515.6999999999971</v>
      </c>
      <c r="M7" s="5">
        <f t="shared" si="1"/>
        <v>1515.6999999999971</v>
      </c>
      <c r="Q7" s="39">
        <v>2008</v>
      </c>
      <c r="R7" s="36">
        <v>7359.9</v>
      </c>
      <c r="S7" s="36">
        <v>7120.7</v>
      </c>
      <c r="U7" s="5">
        <f t="shared" si="2"/>
        <v>7120.7</v>
      </c>
    </row>
    <row r="8" spans="1:21" x14ac:dyDescent="0.3">
      <c r="A8" s="34">
        <v>2008</v>
      </c>
      <c r="B8" s="34">
        <v>19967</v>
      </c>
      <c r="C8" s="34">
        <v>39218.699999999997</v>
      </c>
      <c r="D8" s="47"/>
      <c r="E8" s="36">
        <f t="shared" si="0"/>
        <v>39218.699999999997</v>
      </c>
      <c r="I8" s="36">
        <v>2011</v>
      </c>
      <c r="J8" s="36">
        <v>9656.2999999999993</v>
      </c>
      <c r="K8" s="36">
        <v>1695.6000000000058</v>
      </c>
      <c r="M8" s="5">
        <f t="shared" si="1"/>
        <v>1695.6000000000058</v>
      </c>
      <c r="Q8" s="39">
        <v>2016</v>
      </c>
      <c r="R8" s="37">
        <v>7238.2651898854401</v>
      </c>
      <c r="S8" s="37">
        <v>7170.7326642855796</v>
      </c>
      <c r="U8" s="5">
        <f t="shared" si="2"/>
        <v>7170.7326642855796</v>
      </c>
    </row>
    <row r="9" spans="1:21" x14ac:dyDescent="0.3">
      <c r="A9" s="34">
        <v>2011</v>
      </c>
      <c r="B9" s="34">
        <v>21356.2</v>
      </c>
      <c r="C9" s="34">
        <v>39762.199999999997</v>
      </c>
      <c r="D9" s="47"/>
      <c r="E9" s="36">
        <f t="shared" si="0"/>
        <v>39762.199999999997</v>
      </c>
      <c r="I9" s="36">
        <v>2010</v>
      </c>
      <c r="J9" s="36">
        <v>7982.2</v>
      </c>
      <c r="K9" s="36">
        <v>1713.5999999999985</v>
      </c>
      <c r="M9" s="5">
        <f t="shared" si="1"/>
        <v>1713.5999999999985</v>
      </c>
      <c r="Q9" s="39">
        <v>2011</v>
      </c>
      <c r="R9" s="36">
        <v>7306.7</v>
      </c>
      <c r="S9" s="36">
        <v>7205.7</v>
      </c>
      <c r="U9" s="5">
        <f t="shared" si="2"/>
        <v>7205.7</v>
      </c>
    </row>
    <row r="10" spans="1:21" x14ac:dyDescent="0.3">
      <c r="A10" s="34">
        <v>2009</v>
      </c>
      <c r="B10" s="41">
        <v>18946.599999999999</v>
      </c>
      <c r="C10" s="34">
        <v>41276.800000000003</v>
      </c>
      <c r="D10" s="47"/>
      <c r="E10" s="36">
        <f t="shared" si="0"/>
        <v>41276.800000000003</v>
      </c>
      <c r="I10" s="36">
        <v>2003</v>
      </c>
      <c r="J10" s="36">
        <v>5396.9</v>
      </c>
      <c r="K10" s="36">
        <v>1992.6000000000022</v>
      </c>
      <c r="M10" s="5">
        <f t="shared" si="1"/>
        <v>1992.6000000000022</v>
      </c>
      <c r="Q10" s="39">
        <v>2017</v>
      </c>
      <c r="R10" s="37">
        <v>7264.2719268000001</v>
      </c>
      <c r="S10" s="37">
        <v>7238.2651898854401</v>
      </c>
      <c r="U10" s="5">
        <f t="shared" si="2"/>
        <v>7238.2651898854401</v>
      </c>
    </row>
    <row r="11" spans="1:21" x14ac:dyDescent="0.3">
      <c r="A11" s="34">
        <v>2012</v>
      </c>
      <c r="B11" s="35">
        <v>23053.8</v>
      </c>
      <c r="C11" s="34">
        <v>41457.800000000003</v>
      </c>
      <c r="D11" s="47"/>
      <c r="E11" s="36">
        <f t="shared" si="0"/>
        <v>41457.800000000003</v>
      </c>
      <c r="I11" s="36">
        <v>2005</v>
      </c>
      <c r="J11" s="36">
        <v>6631.1</v>
      </c>
      <c r="K11" s="36">
        <v>2002.7000000000007</v>
      </c>
      <c r="M11" s="5">
        <f t="shared" si="1"/>
        <v>2002.7000000000007</v>
      </c>
      <c r="Q11" s="39">
        <v>2012</v>
      </c>
      <c r="R11" s="37">
        <v>7498.7</v>
      </c>
      <c r="S11" s="36">
        <v>7306.7</v>
      </c>
      <c r="U11" s="5">
        <f t="shared" si="2"/>
        <v>7306.7</v>
      </c>
    </row>
    <row r="12" spans="1:21" x14ac:dyDescent="0.3">
      <c r="A12" s="49">
        <v>2017</v>
      </c>
      <c r="B12" s="50">
        <v>22511.920513599998</v>
      </c>
      <c r="C12" s="50">
        <v>42871.144250487298</v>
      </c>
      <c r="D12" s="47"/>
      <c r="E12" s="36">
        <f t="shared" si="0"/>
        <v>42871.144250487298</v>
      </c>
      <c r="I12" s="65">
        <v>2008</v>
      </c>
      <c r="J12" s="65">
        <v>10526.1</v>
      </c>
      <c r="K12" s="65">
        <v>2058.1000000000058</v>
      </c>
      <c r="M12" s="5">
        <f t="shared" si="1"/>
        <v>2058.1000000000058</v>
      </c>
      <c r="Q12" s="65">
        <v>2010</v>
      </c>
      <c r="R12" s="65">
        <v>7205.7</v>
      </c>
      <c r="S12" s="65">
        <v>7314.5</v>
      </c>
      <c r="U12" s="5">
        <f t="shared" si="2"/>
        <v>7314.5</v>
      </c>
    </row>
    <row r="13" spans="1:21" x14ac:dyDescent="0.3">
      <c r="A13" s="49">
        <v>2016</v>
      </c>
      <c r="B13" s="50">
        <v>21780.763210474499</v>
      </c>
      <c r="C13" s="50">
        <v>42945.281037116903</v>
      </c>
      <c r="D13" s="47"/>
      <c r="E13" s="36">
        <f t="shared" si="0"/>
        <v>42945.281037116903</v>
      </c>
      <c r="I13" s="65">
        <v>2004</v>
      </c>
      <c r="J13" s="65">
        <v>6056.2</v>
      </c>
      <c r="K13" s="65">
        <v>2102.8999999999978</v>
      </c>
      <c r="M13" s="5">
        <f t="shared" si="1"/>
        <v>2102.8999999999978</v>
      </c>
      <c r="Q13" s="65">
        <v>2009</v>
      </c>
      <c r="R13" s="65">
        <v>7314.5</v>
      </c>
      <c r="S13" s="65">
        <v>7359.9</v>
      </c>
      <c r="U13" s="5">
        <f t="shared" si="2"/>
        <v>7359.9</v>
      </c>
    </row>
    <row r="14" spans="1:21" x14ac:dyDescent="0.3">
      <c r="A14" s="49">
        <v>2013</v>
      </c>
      <c r="B14" s="50">
        <v>24263.159764191099</v>
      </c>
      <c r="C14" s="50">
        <v>42973.5</v>
      </c>
      <c r="D14" s="47"/>
      <c r="E14" s="36">
        <f t="shared" si="0"/>
        <v>42973.5</v>
      </c>
      <c r="I14" s="65">
        <v>2006</v>
      </c>
      <c r="J14" s="65">
        <v>7806.4</v>
      </c>
      <c r="K14" s="65">
        <v>2724.0999999999985</v>
      </c>
      <c r="M14" s="5">
        <f t="shared" si="1"/>
        <v>2724.0999999999985</v>
      </c>
      <c r="Q14" s="65">
        <v>2015</v>
      </c>
      <c r="R14" s="66">
        <v>7170.7326642855796</v>
      </c>
      <c r="S14" s="66">
        <v>7401.9951260520202</v>
      </c>
      <c r="U14" s="5">
        <f t="shared" si="2"/>
        <v>7401.9951260520202</v>
      </c>
    </row>
    <row r="15" spans="1:21" x14ac:dyDescent="0.3">
      <c r="A15" s="49">
        <v>2014</v>
      </c>
      <c r="B15" s="50">
        <v>24736.3708425324</v>
      </c>
      <c r="C15" s="50">
        <v>43740.704111475097</v>
      </c>
      <c r="D15" s="47"/>
      <c r="E15" s="36">
        <f t="shared" si="0"/>
        <v>43740.704111475097</v>
      </c>
      <c r="I15" s="65">
        <v>2007</v>
      </c>
      <c r="J15" s="65">
        <v>9526.5</v>
      </c>
      <c r="K15" s="65">
        <v>3084.0999999999985</v>
      </c>
      <c r="M15" s="5">
        <f t="shared" si="1"/>
        <v>3084.0999999999985</v>
      </c>
      <c r="Q15" s="65">
        <v>2013</v>
      </c>
      <c r="R15" s="66">
        <v>7562.6711761688503</v>
      </c>
      <c r="S15" s="66">
        <v>7498.7</v>
      </c>
      <c r="U15" s="5">
        <f t="shared" si="2"/>
        <v>7498.7</v>
      </c>
    </row>
    <row r="16" spans="1:21" x14ac:dyDescent="0.3">
      <c r="A16" s="49">
        <v>2015</v>
      </c>
      <c r="B16" s="50">
        <v>22418.535331585401</v>
      </c>
      <c r="C16" s="50">
        <v>44063.797454319298</v>
      </c>
      <c r="D16" s="47"/>
      <c r="E16" s="36">
        <f t="shared" si="0"/>
        <v>44063.797454319298</v>
      </c>
      <c r="I16" s="65">
        <v>2009</v>
      </c>
      <c r="J16" s="65">
        <v>6209.8</v>
      </c>
      <c r="K16" s="65">
        <v>-3228.2000000000044</v>
      </c>
      <c r="M16" s="5">
        <f t="shared" si="1"/>
        <v>3228.2000000000044</v>
      </c>
      <c r="Q16" s="65">
        <v>2014</v>
      </c>
      <c r="R16" s="66">
        <v>7401.9951260520202</v>
      </c>
      <c r="S16" s="66">
        <v>7562.6711761688503</v>
      </c>
      <c r="U16" s="5">
        <f t="shared" si="2"/>
        <v>7562.6711761688503</v>
      </c>
    </row>
    <row r="17" spans="2:24" ht="15" thickBot="1" x14ac:dyDescent="0.35">
      <c r="D17" s="47"/>
    </row>
    <row r="18" spans="2:24" ht="15.6" thickTop="1" thickBot="1" x14ac:dyDescent="0.35">
      <c r="B18" s="52" t="s">
        <v>35</v>
      </c>
      <c r="C18" s="52" t="s">
        <v>36</v>
      </c>
      <c r="J18" s="52" t="s">
        <v>41</v>
      </c>
      <c r="K18" s="52" t="s">
        <v>42</v>
      </c>
      <c r="S18" s="52" t="s">
        <v>57</v>
      </c>
      <c r="T18" s="46" t="s">
        <v>71</v>
      </c>
    </row>
    <row r="19" spans="2:24" ht="15" thickTop="1" x14ac:dyDescent="0.3">
      <c r="B19" s="56">
        <f t="array" ref="B19:C23">LINEST(B2:B6,C2:C6,1,1)</f>
        <v>0.78544171258964302</v>
      </c>
      <c r="C19" s="56">
        <v>-10420.745839384259</v>
      </c>
      <c r="J19" s="58">
        <f t="array" ref="J19:K23">LINEST(J2:J6,K2:K6,1,1)</f>
        <v>0.68357246178184128</v>
      </c>
      <c r="K19" s="58">
        <v>8381.6655696627477</v>
      </c>
      <c r="S19" s="58">
        <f t="array" ref="S19:T23">LINEST(R2:R6,S2:S6,0,1)</f>
        <v>1.0219672860320874</v>
      </c>
      <c r="T19" s="58">
        <v>0</v>
      </c>
    </row>
    <row r="20" spans="2:24" x14ac:dyDescent="0.3">
      <c r="B20" s="56">
        <v>1.9628195279387847E-2</v>
      </c>
      <c r="C20" s="56">
        <v>621.51431291846143</v>
      </c>
      <c r="J20" s="58">
        <v>0.42703445349741509</v>
      </c>
      <c r="K20" s="58">
        <v>295.15545543899219</v>
      </c>
      <c r="S20" s="58">
        <v>2.1365806231534432E-3</v>
      </c>
      <c r="T20" s="58" t="e">
        <v>#N/A</v>
      </c>
    </row>
    <row r="21" spans="2:24" x14ac:dyDescent="0.3">
      <c r="B21" s="56">
        <v>0.99813000183086409</v>
      </c>
      <c r="C21" s="56">
        <v>135.26709326998667</v>
      </c>
      <c r="J21" s="58">
        <v>0.4606623790233586</v>
      </c>
      <c r="K21" s="58">
        <v>651.25723035276883</v>
      </c>
      <c r="S21" s="58">
        <v>0.99998251695878138</v>
      </c>
      <c r="T21" s="58">
        <v>31.846612871817744</v>
      </c>
    </row>
    <row r="22" spans="2:24" ht="15.6" x14ac:dyDescent="0.35">
      <c r="B22" s="56">
        <v>1601.2796455711398</v>
      </c>
      <c r="C22" s="57">
        <v>3</v>
      </c>
      <c r="D22" s="51" t="s">
        <v>48</v>
      </c>
      <c r="J22" s="58">
        <v>2.5623785238039778</v>
      </c>
      <c r="K22" s="59">
        <v>3</v>
      </c>
      <c r="L22" s="51" t="s">
        <v>48</v>
      </c>
      <c r="S22" s="58">
        <v>228789.14588272083</v>
      </c>
      <c r="T22" s="43">
        <v>4</v>
      </c>
      <c r="U22" s="51" t="s">
        <v>48</v>
      </c>
    </row>
    <row r="23" spans="2:24" x14ac:dyDescent="0.3">
      <c r="B23" s="56">
        <v>29298912.348434865</v>
      </c>
      <c r="C23" s="53">
        <v>54891.55956513383</v>
      </c>
      <c r="J23" s="58">
        <v>1086796.9265468637</v>
      </c>
      <c r="K23" s="59">
        <v>1272407.9402602781</v>
      </c>
      <c r="S23" s="58">
        <v>232039496.40299433</v>
      </c>
      <c r="T23" s="43">
        <v>4056.8270056297106</v>
      </c>
    </row>
    <row r="24" spans="2:24" ht="21" thickBot="1" x14ac:dyDescent="0.35">
      <c r="B24" s="54"/>
      <c r="C24" s="55" t="s">
        <v>47</v>
      </c>
      <c r="K24" s="55" t="s">
        <v>47</v>
      </c>
      <c r="T24" s="55" t="s">
        <v>47</v>
      </c>
    </row>
    <row r="25" spans="2:24" ht="15.6" thickTop="1" thickBot="1" x14ac:dyDescent="0.35">
      <c r="E25" s="61" t="s">
        <v>50</v>
      </c>
      <c r="F25" s="5">
        <f>C23/C31</f>
        <v>8.6710466346767903E-3</v>
      </c>
      <c r="M25" s="61" t="s">
        <v>50</v>
      </c>
      <c r="N25" s="5">
        <f>K23/K31</f>
        <v>0.11246263985393638</v>
      </c>
      <c r="W25" s="61" t="s">
        <v>50</v>
      </c>
      <c r="X25" s="5">
        <f>T23/T31</f>
        <v>7.9691069793698041E-2</v>
      </c>
    </row>
    <row r="26" spans="2:24" ht="15.6" thickTop="1" thickBot="1" x14ac:dyDescent="0.35">
      <c r="E26" s="61" t="s">
        <v>51</v>
      </c>
      <c r="F26" s="5">
        <f>1/F25</f>
        <v>115.32633165653301</v>
      </c>
      <c r="J26" s="52" t="s">
        <v>41</v>
      </c>
      <c r="K26" s="52" t="s">
        <v>42</v>
      </c>
      <c r="M26" s="61" t="s">
        <v>51</v>
      </c>
      <c r="N26" s="5">
        <f>1/N25</f>
        <v>8.891841782291209</v>
      </c>
      <c r="S26" s="70" t="s">
        <v>57</v>
      </c>
      <c r="T26" s="46" t="s">
        <v>71</v>
      </c>
      <c r="W26" s="61" t="s">
        <v>51</v>
      </c>
      <c r="X26" s="5">
        <f>1/X25</f>
        <v>12.54845746943505</v>
      </c>
    </row>
    <row r="27" spans="2:24" ht="15.6" thickTop="1" thickBot="1" x14ac:dyDescent="0.35">
      <c r="B27" s="58">
        <f t="array" ref="B27:C31">LINEST(B12:B16,C12:C16,1,1)</f>
        <v>0.45049188853252559</v>
      </c>
      <c r="C27" s="58">
        <v>3627.343452715173</v>
      </c>
      <c r="E27" s="61" t="s">
        <v>52</v>
      </c>
      <c r="F27" s="5">
        <v>0.05</v>
      </c>
      <c r="J27" s="58">
        <f t="array" ref="J27:K31">LINEST(J12:J16,K12:K16,1,1)</f>
        <v>0.40494269540830097</v>
      </c>
      <c r="K27" s="58">
        <v>7479.0562580505284</v>
      </c>
      <c r="M27" s="61" t="s">
        <v>52</v>
      </c>
      <c r="N27" s="5">
        <v>0.05</v>
      </c>
      <c r="S27" s="58">
        <f t="array" ref="S27:T31">LINEST(R12:R16,S12:S16,0,1)</f>
        <v>0.98703368343658138</v>
      </c>
      <c r="T27" s="58">
        <v>0</v>
      </c>
      <c r="W27" s="61" t="s">
        <v>52</v>
      </c>
      <c r="X27" s="5">
        <v>0.05</v>
      </c>
    </row>
    <row r="28" spans="2:24" ht="16.8" thickTop="1" thickBot="1" x14ac:dyDescent="0.4">
      <c r="B28" s="58">
        <v>1.3304163975641199</v>
      </c>
      <c r="C28" s="58">
        <v>57635.81671140957</v>
      </c>
      <c r="E28" s="61" t="s">
        <v>53</v>
      </c>
      <c r="F28" s="5">
        <f>_xlfn.F.INV(0.95,3,3)</f>
        <v>9.2766281531448058</v>
      </c>
      <c r="J28" s="58">
        <v>0.3742685501880193</v>
      </c>
      <c r="K28" s="58">
        <v>1004.4301483007372</v>
      </c>
      <c r="M28" s="61" t="s">
        <v>53</v>
      </c>
      <c r="N28" s="5">
        <f>_xlfn.F.INV(0.95,3,3)</f>
        <v>9.2766281531448058</v>
      </c>
      <c r="S28" s="58">
        <v>6.7919598547603243E-3</v>
      </c>
      <c r="T28" s="58" t="e">
        <v>#N/A</v>
      </c>
      <c r="W28" s="61" t="s">
        <v>53</v>
      </c>
      <c r="X28" s="5">
        <f>_xlfn.F.INV(0.95,T22,T30)</f>
        <v>6.3882329086958638</v>
      </c>
    </row>
    <row r="29" spans="2:24" ht="15" thickTop="1" x14ac:dyDescent="0.3">
      <c r="B29" s="58">
        <v>3.6811932099988676E-2</v>
      </c>
      <c r="C29" s="58">
        <v>1452.6346413273782</v>
      </c>
      <c r="J29" s="58">
        <v>0.28068459403764456</v>
      </c>
      <c r="K29" s="58">
        <v>1941.996402959717</v>
      </c>
      <c r="S29" s="58">
        <v>0.99981063312348584</v>
      </c>
      <c r="T29" s="58">
        <v>112.81281082062441</v>
      </c>
    </row>
    <row r="30" spans="2:24" x14ac:dyDescent="0.3">
      <c r="B30" s="58">
        <v>0.11465652449447743</v>
      </c>
      <c r="C30" s="58">
        <v>3</v>
      </c>
      <c r="J30" s="58">
        <v>1.1706322082541376</v>
      </c>
      <c r="K30" s="59">
        <v>3</v>
      </c>
      <c r="S30" s="58">
        <v>21119.018310458723</v>
      </c>
      <c r="T30" s="43">
        <v>4</v>
      </c>
    </row>
    <row r="31" spans="2:24" x14ac:dyDescent="0.3">
      <c r="B31" s="58">
        <v>241942.16719084792</v>
      </c>
      <c r="C31" s="43">
        <v>6330442.2035529613</v>
      </c>
      <c r="J31" s="58">
        <v>4414863.8126745652</v>
      </c>
      <c r="K31" s="59">
        <v>11314050.087325437</v>
      </c>
      <c r="S31" s="58">
        <v>268776049.92646414</v>
      </c>
      <c r="T31" s="43">
        <v>50906.92114099997</v>
      </c>
    </row>
    <row r="32" spans="2:24" ht="20.399999999999999" x14ac:dyDescent="0.3">
      <c r="C32" s="55" t="s">
        <v>49</v>
      </c>
      <c r="K32" s="55" t="s">
        <v>49</v>
      </c>
      <c r="T32" s="55" t="s">
        <v>49</v>
      </c>
    </row>
    <row r="34" spans="1:11" x14ac:dyDescent="0.3">
      <c r="A34" s="96" t="s">
        <v>54</v>
      </c>
      <c r="B34" s="96"/>
      <c r="C34" s="96"/>
      <c r="D34" s="96"/>
      <c r="E34" s="96"/>
      <c r="F34" s="96"/>
      <c r="G34" s="96"/>
      <c r="H34" s="96"/>
      <c r="I34" s="62"/>
      <c r="J34" s="62"/>
    </row>
    <row r="35" spans="1:11" x14ac:dyDescent="0.3">
      <c r="A35" s="96"/>
      <c r="B35" s="96"/>
      <c r="C35" s="96"/>
      <c r="D35" s="96"/>
      <c r="E35" s="96"/>
      <c r="F35" s="96"/>
      <c r="G35" s="96"/>
      <c r="H35" s="96"/>
      <c r="I35" s="62"/>
      <c r="J35" s="62"/>
    </row>
    <row r="36" spans="1:11" x14ac:dyDescent="0.3">
      <c r="A36" s="96"/>
      <c r="B36" s="96"/>
      <c r="C36" s="96"/>
      <c r="D36" s="96"/>
      <c r="E36" s="96"/>
      <c r="F36" s="96"/>
      <c r="G36" s="96"/>
      <c r="H36" s="96"/>
      <c r="I36" s="62"/>
      <c r="J36" s="62"/>
      <c r="K36" s="62"/>
    </row>
    <row r="37" spans="1:11" x14ac:dyDescent="0.3">
      <c r="A37" s="96"/>
      <c r="B37" s="96"/>
      <c r="C37" s="96"/>
      <c r="D37" s="96"/>
      <c r="E37" s="96"/>
      <c r="F37" s="96"/>
      <c r="G37" s="96"/>
      <c r="H37" s="96"/>
    </row>
    <row r="38" spans="1:11" x14ac:dyDescent="0.3">
      <c r="A38" s="96"/>
      <c r="B38" s="96"/>
      <c r="C38" s="96"/>
      <c r="D38" s="96"/>
      <c r="E38" s="96"/>
      <c r="F38" s="96"/>
      <c r="G38" s="96"/>
      <c r="H38" s="96"/>
    </row>
    <row r="39" spans="1:11" x14ac:dyDescent="0.3">
      <c r="A39" s="96"/>
      <c r="B39" s="96"/>
      <c r="C39" s="96"/>
      <c r="D39" s="96"/>
      <c r="E39" s="96"/>
      <c r="F39" s="96"/>
      <c r="G39" s="96"/>
      <c r="H39" s="96"/>
    </row>
    <row r="40" spans="1:11" x14ac:dyDescent="0.3">
      <c r="A40" s="96"/>
      <c r="B40" s="96"/>
      <c r="C40" s="96"/>
      <c r="D40" s="96"/>
      <c r="E40" s="96"/>
      <c r="F40" s="96"/>
      <c r="G40" s="96"/>
      <c r="H40" s="96"/>
    </row>
    <row r="41" spans="1:11" x14ac:dyDescent="0.3">
      <c r="A41" s="96"/>
      <c r="B41" s="96"/>
      <c r="C41" s="96"/>
      <c r="D41" s="96"/>
      <c r="E41" s="96"/>
      <c r="F41" s="96"/>
      <c r="G41" s="96"/>
      <c r="H41" s="96"/>
    </row>
    <row r="42" spans="1:11" x14ac:dyDescent="0.3">
      <c r="A42" s="96"/>
      <c r="B42" s="96"/>
      <c r="C42" s="96"/>
      <c r="D42" s="96"/>
      <c r="E42" s="96"/>
      <c r="F42" s="96"/>
      <c r="G42" s="96"/>
      <c r="H42" s="96"/>
    </row>
    <row r="43" spans="1:11" x14ac:dyDescent="0.3">
      <c r="A43" s="96"/>
      <c r="B43" s="96"/>
      <c r="C43" s="96"/>
      <c r="D43" s="96"/>
      <c r="E43" s="96"/>
      <c r="F43" s="96"/>
      <c r="G43" s="96"/>
      <c r="H43" s="96"/>
    </row>
  </sheetData>
  <sortState xmlns:xlrd2="http://schemas.microsoft.com/office/spreadsheetml/2017/richdata2" ref="Q2:U16">
    <sortCondition ref="U2:U16"/>
  </sortState>
  <mergeCells count="1">
    <mergeCell ref="A34:H43"/>
  </mergeCells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7267-5325-4846-8E8E-656189980A19}">
  <dimension ref="A1:I24"/>
  <sheetViews>
    <sheetView workbookViewId="0">
      <selection activeCell="B2" sqref="B2"/>
    </sheetView>
  </sheetViews>
  <sheetFormatPr defaultRowHeight="14.4" x14ac:dyDescent="0.3"/>
  <cols>
    <col min="3" max="3" width="9" bestFit="1" customWidth="1"/>
    <col min="4" max="4" width="11" bestFit="1" customWidth="1"/>
    <col min="5" max="6" width="9" bestFit="1" customWidth="1"/>
    <col min="8" max="8" width="11" bestFit="1" customWidth="1"/>
    <col min="11" max="11" width="11" bestFit="1" customWidth="1"/>
    <col min="13" max="13" width="11" bestFit="1" customWidth="1"/>
  </cols>
  <sheetData>
    <row r="1" spans="1:8" x14ac:dyDescent="0.3">
      <c r="A1" s="42" t="s">
        <v>39</v>
      </c>
    </row>
    <row r="2" spans="1:8" ht="16.2" x14ac:dyDescent="0.3">
      <c r="B2" s="38" t="s">
        <v>15</v>
      </c>
      <c r="C2" s="38" t="s">
        <v>37</v>
      </c>
      <c r="D2" s="38" t="s">
        <v>38</v>
      </c>
      <c r="E2" s="40" t="s">
        <v>30</v>
      </c>
      <c r="F2" s="40" t="s">
        <v>31</v>
      </c>
      <c r="G2" s="38" t="s">
        <v>62</v>
      </c>
      <c r="H2" s="38" t="s">
        <v>63</v>
      </c>
    </row>
    <row r="3" spans="1:8" x14ac:dyDescent="0.3">
      <c r="B3" s="36">
        <v>2004</v>
      </c>
      <c r="C3" s="36">
        <v>6056.2</v>
      </c>
      <c r="D3" s="36">
        <v>2102.8999999999978</v>
      </c>
      <c r="E3" s="39">
        <v>0</v>
      </c>
      <c r="F3" s="39">
        <v>0</v>
      </c>
      <c r="G3" s="5">
        <f>C3-($F$20+$E$20*D3+$D$20*E3+$C$20*F3)</f>
        <v>-2545.4952508166034</v>
      </c>
      <c r="H3" s="68"/>
    </row>
    <row r="4" spans="1:8" x14ac:dyDescent="0.3">
      <c r="B4" s="36">
        <v>2005</v>
      </c>
      <c r="C4" s="36">
        <v>6631.1</v>
      </c>
      <c r="D4" s="36">
        <v>2002.7000000000007</v>
      </c>
      <c r="E4" s="39">
        <v>0</v>
      </c>
      <c r="F4" s="39">
        <v>0</v>
      </c>
      <c r="G4" s="5">
        <f t="shared" ref="G4:G16" si="0">C4-($F$20+$E$20*D4+$D$20*E4+$C$20*F4)</f>
        <v>-1994.4929851989236</v>
      </c>
      <c r="H4" s="5">
        <f>(G4-G3)^2</f>
        <v>303603.49671581615</v>
      </c>
    </row>
    <row r="5" spans="1:8" x14ac:dyDescent="0.3">
      <c r="B5" s="36">
        <v>2006</v>
      </c>
      <c r="C5" s="36">
        <v>7806.4</v>
      </c>
      <c r="D5" s="36">
        <v>2724.0999999999985</v>
      </c>
      <c r="E5" s="39">
        <v>0</v>
      </c>
      <c r="F5" s="39">
        <v>0</v>
      </c>
      <c r="G5" s="5">
        <f t="shared" si="0"/>
        <v>-647.13883765993887</v>
      </c>
      <c r="H5" s="5">
        <f>(G5-G4)^2</f>
        <v>1815363.1988905044</v>
      </c>
    </row>
    <row r="6" spans="1:8" x14ac:dyDescent="0.3">
      <c r="B6" s="36">
        <v>2007</v>
      </c>
      <c r="C6" s="36">
        <v>9526.5</v>
      </c>
      <c r="D6" s="36">
        <v>3084.0999999999985</v>
      </c>
      <c r="E6" s="39">
        <v>0</v>
      </c>
      <c r="F6" s="39">
        <v>0</v>
      </c>
      <c r="G6" s="5">
        <f t="shared" si="0"/>
        <v>1158.8212858693569</v>
      </c>
      <c r="H6" s="5">
        <f>(G6-G5)^2</f>
        <v>3261491.9677779493</v>
      </c>
    </row>
    <row r="7" spans="1:8" x14ac:dyDescent="0.3">
      <c r="B7" s="36">
        <v>2008</v>
      </c>
      <c r="C7" s="36">
        <v>10526.1</v>
      </c>
      <c r="D7" s="36">
        <v>2058.1000000000058</v>
      </c>
      <c r="E7" s="39">
        <v>0</v>
      </c>
      <c r="F7" s="39">
        <v>0</v>
      </c>
      <c r="G7" s="5">
        <f t="shared" si="0"/>
        <v>1913.7199338108639</v>
      </c>
      <c r="H7" s="5">
        <f t="shared" ref="H7:H16" si="1">(G7-G6)^2</f>
        <v>569871.96866391541</v>
      </c>
    </row>
    <row r="8" spans="1:8" x14ac:dyDescent="0.3">
      <c r="B8" s="36">
        <v>2009</v>
      </c>
      <c r="C8" s="36">
        <v>6209.8</v>
      </c>
      <c r="D8" s="36">
        <v>-3228.2000000000044</v>
      </c>
      <c r="E8" s="39">
        <v>1</v>
      </c>
      <c r="F8" s="39">
        <v>0</v>
      </c>
      <c r="G8" s="5">
        <f t="shared" si="0"/>
        <v>0</v>
      </c>
      <c r="H8" s="5">
        <f t="shared" si="1"/>
        <v>3662323.9850650574</v>
      </c>
    </row>
    <row r="9" spans="1:8" x14ac:dyDescent="0.3">
      <c r="B9" s="36">
        <v>2010</v>
      </c>
      <c r="C9" s="36">
        <v>7982.2</v>
      </c>
      <c r="D9" s="36">
        <v>1713.5999999999985</v>
      </c>
      <c r="E9" s="39">
        <v>0</v>
      </c>
      <c r="F9" s="39">
        <v>0</v>
      </c>
      <c r="G9" s="5">
        <f t="shared" si="0"/>
        <v>-712.34343439981149</v>
      </c>
      <c r="H9" s="5">
        <f t="shared" si="1"/>
        <v>507433.16853251855</v>
      </c>
    </row>
    <row r="10" spans="1:8" x14ac:dyDescent="0.3">
      <c r="B10" s="36">
        <v>2011</v>
      </c>
      <c r="C10" s="36">
        <v>9656.2999999999993</v>
      </c>
      <c r="D10" s="36">
        <v>1695.6000000000058</v>
      </c>
      <c r="E10" s="39">
        <v>0</v>
      </c>
      <c r="F10" s="39">
        <v>0</v>
      </c>
      <c r="G10" s="5">
        <f t="shared" si="0"/>
        <v>957.46355942372429</v>
      </c>
      <c r="H10" s="5">
        <f t="shared" si="1"/>
        <v>2788255.3966219937</v>
      </c>
    </row>
    <row r="11" spans="1:8" x14ac:dyDescent="0.3">
      <c r="B11" s="36">
        <v>2012</v>
      </c>
      <c r="C11" s="37">
        <v>10084.8629609</v>
      </c>
      <c r="D11" s="36">
        <v>1515.6999999999971</v>
      </c>
      <c r="E11" s="39">
        <v>0</v>
      </c>
      <c r="F11" s="39">
        <v>0</v>
      </c>
      <c r="G11" s="5">
        <f t="shared" si="0"/>
        <v>1343.1203085933885</v>
      </c>
      <c r="H11" s="5">
        <f t="shared" si="1"/>
        <v>148731.12818011327</v>
      </c>
    </row>
    <row r="12" spans="1:8" x14ac:dyDescent="0.3">
      <c r="B12" s="36">
        <v>2013</v>
      </c>
      <c r="C12" s="37">
        <v>9525.0478595999994</v>
      </c>
      <c r="D12" s="36">
        <v>767.20411147509731</v>
      </c>
      <c r="E12" s="39">
        <v>0</v>
      </c>
      <c r="F12" s="39">
        <v>0</v>
      </c>
      <c r="G12" s="5">
        <f t="shared" si="0"/>
        <v>604.78868104361391</v>
      </c>
      <c r="H12" s="5">
        <f t="shared" si="1"/>
        <v>545133.59224029898</v>
      </c>
    </row>
    <row r="13" spans="1:8" x14ac:dyDescent="0.3">
      <c r="B13" s="36">
        <v>2014</v>
      </c>
      <c r="C13" s="37">
        <v>8947.7364885999996</v>
      </c>
      <c r="D13" s="36">
        <v>323.09334284420038</v>
      </c>
      <c r="E13" s="39">
        <v>0</v>
      </c>
      <c r="F13" s="39">
        <v>0</v>
      </c>
      <c r="G13" s="5">
        <f t="shared" si="0"/>
        <v>-78.44326066566282</v>
      </c>
      <c r="H13" s="5">
        <f t="shared" si="1"/>
        <v>466805.88617182849</v>
      </c>
    </row>
    <row r="14" spans="1:8" x14ac:dyDescent="0.3">
      <c r="B14" s="36">
        <v>2015</v>
      </c>
      <c r="C14" s="37">
        <v>7848.3547778999991</v>
      </c>
      <c r="D14" s="36">
        <v>-1118.5164172023942</v>
      </c>
      <c r="E14" s="39">
        <v>0</v>
      </c>
      <c r="F14" s="39">
        <v>1</v>
      </c>
      <c r="G14" s="5">
        <f t="shared" si="0"/>
        <v>-315.77792543195937</v>
      </c>
      <c r="H14" s="5">
        <f t="shared" si="1"/>
        <v>56327.743099730367</v>
      </c>
    </row>
    <row r="15" spans="1:8" x14ac:dyDescent="0.3">
      <c r="B15" s="36">
        <v>2016</v>
      </c>
      <c r="C15" s="37">
        <v>7700.6521864999995</v>
      </c>
      <c r="D15" s="36">
        <v>-74.136786629605922</v>
      </c>
      <c r="E15" s="39">
        <v>0</v>
      </c>
      <c r="F15" s="39">
        <v>1</v>
      </c>
      <c r="G15" s="5">
        <f t="shared" si="0"/>
        <v>-214.39561657512513</v>
      </c>
      <c r="H15" s="5">
        <f t="shared" si="1"/>
        <v>10278.37254914253</v>
      </c>
    </row>
    <row r="16" spans="1:8" ht="15" thickBot="1" x14ac:dyDescent="0.35">
      <c r="B16" s="36">
        <v>2017</v>
      </c>
      <c r="C16" s="37">
        <v>8269.5079999999998</v>
      </c>
      <c r="D16" s="36">
        <v>662.60573864770413</v>
      </c>
      <c r="E16" s="39">
        <v>0</v>
      </c>
      <c r="F16" s="39">
        <v>1</v>
      </c>
      <c r="G16" s="5">
        <f t="shared" si="0"/>
        <v>530.17354200708633</v>
      </c>
      <c r="H16" s="5">
        <f t="shared" si="1"/>
        <v>554383.23191182234</v>
      </c>
    </row>
    <row r="17" spans="2:9" ht="15.6" thickTop="1" thickBot="1" x14ac:dyDescent="0.35">
      <c r="G17" s="46" t="s">
        <v>64</v>
      </c>
      <c r="H17" s="43">
        <f>SUM(H4:H16)</f>
        <v>14690003.136420691</v>
      </c>
    </row>
    <row r="18" spans="2:9" ht="15.6" thickTop="1" thickBot="1" x14ac:dyDescent="0.35"/>
    <row r="19" spans="2:9" ht="15.6" thickTop="1" thickBot="1" x14ac:dyDescent="0.35">
      <c r="C19" s="46" t="s">
        <v>45</v>
      </c>
      <c r="D19" s="46" t="s">
        <v>40</v>
      </c>
      <c r="E19" s="46" t="s">
        <v>41</v>
      </c>
      <c r="F19" s="46" t="s">
        <v>42</v>
      </c>
    </row>
    <row r="20" spans="2:9" ht="15.6" thickTop="1" thickBot="1" x14ac:dyDescent="0.35">
      <c r="C20" s="43">
        <f t="array" ref="C20:F24">LINEST(C3:C16,D3:F16,1,1)</f>
        <v>-1205.8714683743701</v>
      </c>
      <c r="D20" s="43">
        <v>-3663.3644301139179</v>
      </c>
      <c r="E20" s="43">
        <v>-0.23850034313693494</v>
      </c>
      <c r="F20" s="43">
        <v>9103.2376223992633</v>
      </c>
    </row>
    <row r="21" spans="2:9" ht="15.6" thickTop="1" thickBot="1" x14ac:dyDescent="0.35">
      <c r="C21" s="58">
        <v>1370.4059982942374</v>
      </c>
      <c r="D21" s="58">
        <v>2960.5643244718822</v>
      </c>
      <c r="E21" s="58">
        <v>0.51009082361297442</v>
      </c>
      <c r="F21" s="58">
        <v>1020.2448798906851</v>
      </c>
      <c r="H21" s="69" t="s">
        <v>61</v>
      </c>
      <c r="I21" s="43">
        <f>H17/D24</f>
        <v>0.7378812234262524</v>
      </c>
    </row>
    <row r="22" spans="2:9" ht="15.6" thickTop="1" thickBot="1" x14ac:dyDescent="0.35">
      <c r="B22" s="69" t="s">
        <v>65</v>
      </c>
      <c r="C22" s="59">
        <v>0.24816572011570037</v>
      </c>
      <c r="D22" s="59">
        <v>1410.9697881035831</v>
      </c>
      <c r="E22" s="58" t="e">
        <v>#N/A</v>
      </c>
      <c r="F22" s="58" t="e">
        <v>#N/A</v>
      </c>
      <c r="H22" s="69" t="s">
        <v>69</v>
      </c>
      <c r="I22" s="43">
        <f>_xlfn.F.INV(0.95,3,10)</f>
        <v>3.7082648190468426</v>
      </c>
    </row>
    <row r="23" spans="2:9" ht="15" thickTop="1" x14ac:dyDescent="0.3">
      <c r="C23" s="58">
        <v>1.1002678238875143</v>
      </c>
      <c r="D23" s="58">
        <v>10</v>
      </c>
      <c r="E23" s="58" t="e">
        <v>#N/A</v>
      </c>
      <c r="F23" s="58" t="e">
        <v>#N/A</v>
      </c>
    </row>
    <row r="24" spans="2:9" x14ac:dyDescent="0.3">
      <c r="C24" s="58">
        <v>6571357.5318097621</v>
      </c>
      <c r="D24" s="59">
        <v>19908357.429410703</v>
      </c>
      <c r="E24" s="58" t="e">
        <v>#N/A</v>
      </c>
      <c r="F24" s="5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Данные</vt:lpstr>
      <vt:lpstr>Кризис и санкции</vt:lpstr>
      <vt:lpstr>ДЗ-12</vt:lpstr>
      <vt:lpstr>Сем-15</vt:lpstr>
      <vt:lpstr>ДЗ-11</vt:lpstr>
      <vt:lpstr>ДЗ-15</vt:lpstr>
      <vt:lpstr>Лист1</vt:lpstr>
      <vt:lpstr>ДЗ-9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??????? ?????????</cp:lastModifiedBy>
  <dcterms:created xsi:type="dcterms:W3CDTF">2019-09-16T06:05:26Z</dcterms:created>
  <dcterms:modified xsi:type="dcterms:W3CDTF">2019-12-30T09:40:38Z</dcterms:modified>
</cp:coreProperties>
</file>