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aul\Mechanics\"/>
    </mc:Choice>
  </mc:AlternateContent>
  <bookViews>
    <workbookView xWindow="360" yWindow="240" windowWidth="18912" windowHeight="7812" activeTab="1"/>
  </bookViews>
  <sheets>
    <sheet name="Kinematix" sheetId="1" r:id="rId1"/>
    <sheet name="Torque" sheetId="4" r:id="rId2"/>
  </sheets>
  <definedNames>
    <definedName name="_xlnm.Print_Area" localSheetId="0">Kinematix!$A$13:$Q$100</definedName>
  </definedNames>
  <calcPr calcId="152511" calcOnSave="0"/>
</workbook>
</file>

<file path=xl/calcChain.xml><?xml version="1.0" encoding="utf-8"?>
<calcChain xmlns="http://schemas.openxmlformats.org/spreadsheetml/2006/main">
  <c r="O19" i="4" l="1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4" i="4"/>
  <c r="C3" i="4"/>
  <c r="C4" i="4"/>
  <c r="C6" i="4"/>
  <c r="C8" i="4"/>
  <c r="C10" i="4"/>
  <c r="C11" i="4"/>
  <c r="C12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D24" i="4" s="1"/>
  <c r="H3" i="4"/>
  <c r="H2" i="4"/>
  <c r="I2" i="4" s="1"/>
  <c r="B17" i="4"/>
  <c r="C17" i="4" s="1"/>
  <c r="H7" i="4"/>
  <c r="D12" i="4"/>
  <c r="E12" i="4" s="1"/>
  <c r="B15" i="4"/>
  <c r="C15" i="4" s="1"/>
  <c r="B13" i="4"/>
  <c r="C13" i="4" s="1"/>
  <c r="B11" i="4"/>
  <c r="B9" i="4"/>
  <c r="C9" i="4" s="1"/>
  <c r="B7" i="4"/>
  <c r="C7" i="4" s="1"/>
  <c r="B3" i="4"/>
  <c r="B5" i="4"/>
  <c r="C5" i="4" s="1"/>
  <c r="L2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13" i="4"/>
  <c r="E16" i="4" l="1"/>
  <c r="I4" i="4"/>
  <c r="E24" i="4"/>
  <c r="D19" i="4"/>
  <c r="E19" i="4" s="1"/>
  <c r="D20" i="4"/>
  <c r="E20" i="4" s="1"/>
  <c r="D25" i="4"/>
  <c r="E25" i="4" s="1"/>
  <c r="D23" i="4"/>
  <c r="E23" i="4" s="1"/>
  <c r="I3" i="4"/>
  <c r="L3" i="4" s="1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G53" i="1" l="1"/>
  <c r="G55" i="1" l="1"/>
  <c r="B34" i="1" l="1"/>
  <c r="B44" i="1"/>
  <c r="B45" i="1"/>
  <c r="B100" i="1" l="1"/>
  <c r="D100" i="1"/>
  <c r="D97" i="1" s="1"/>
  <c r="H53" i="1"/>
  <c r="F54" i="1"/>
  <c r="F55" i="1"/>
  <c r="G54" i="1"/>
  <c r="H55" i="1"/>
  <c r="H54" i="1"/>
  <c r="F50" i="1"/>
  <c r="J64" i="1" s="1"/>
  <c r="F49" i="1"/>
  <c r="N53" i="1" l="1" a="1"/>
  <c r="P54" i="1" s="1"/>
  <c r="K86" i="1"/>
  <c r="D98" i="1"/>
  <c r="B36" i="1"/>
  <c r="K65" i="1"/>
  <c r="L66" i="1"/>
  <c r="M87" i="1" s="1"/>
  <c r="N53" i="1" l="1"/>
  <c r="O55" i="1"/>
  <c r="O54" i="1"/>
  <c r="O53" i="1"/>
  <c r="N54" i="1"/>
  <c r="P53" i="1"/>
  <c r="P55" i="1"/>
  <c r="N55" i="1"/>
  <c r="L85" i="1"/>
  <c r="D50" i="1"/>
  <c r="L64" i="1" s="1"/>
  <c r="D49" i="1"/>
  <c r="H60" i="1"/>
  <c r="N58" i="1" s="1" a="1"/>
  <c r="K91" i="1" l="1"/>
  <c r="M86" i="1"/>
  <c r="L91" i="1"/>
  <c r="L78" i="1"/>
  <c r="M91" i="1"/>
  <c r="L79" i="1"/>
  <c r="L77" i="1"/>
  <c r="K74" i="1"/>
  <c r="K73" i="1"/>
  <c r="K72" i="1"/>
  <c r="O58" i="1"/>
  <c r="O59" i="1"/>
  <c r="N60" i="1"/>
  <c r="N59" i="1"/>
  <c r="N58" i="1"/>
  <c r="P58" i="1"/>
  <c r="O60" i="1"/>
  <c r="P60" i="1"/>
  <c r="P59" i="1"/>
  <c r="J66" i="1"/>
  <c r="J65" i="1"/>
  <c r="K66" i="1"/>
  <c r="M77" i="1" s="1"/>
  <c r="L65" i="1"/>
  <c r="K77" i="1" s="1"/>
  <c r="M90" i="1" l="1"/>
  <c r="L90" i="1"/>
  <c r="K79" i="1"/>
  <c r="K85" i="1"/>
  <c r="L92" i="1"/>
  <c r="M92" i="1"/>
  <c r="M78" i="1"/>
  <c r="K87" i="1"/>
  <c r="M85" i="1"/>
  <c r="K90" i="1"/>
  <c r="K92" i="1"/>
  <c r="L87" i="1"/>
  <c r="M79" i="1"/>
  <c r="K78" i="1"/>
  <c r="L74" i="1"/>
  <c r="L72" i="1"/>
  <c r="L86" i="1" s="1"/>
  <c r="L73" i="1"/>
  <c r="M74" i="1"/>
  <c r="M73" i="1"/>
  <c r="M72" i="1"/>
  <c r="G85" i="1" a="1"/>
  <c r="N64" i="1" a="1"/>
  <c r="I85" i="1" l="1"/>
  <c r="H86" i="1"/>
  <c r="G85" i="1"/>
  <c r="I86" i="1"/>
  <c r="H85" i="1"/>
  <c r="H87" i="1"/>
  <c r="G86" i="1"/>
  <c r="I87" i="1"/>
  <c r="G87" i="1"/>
  <c r="P64" i="1"/>
  <c r="O65" i="1"/>
  <c r="N65" i="1"/>
  <c r="N64" i="1"/>
  <c r="O66" i="1"/>
  <c r="N66" i="1"/>
  <c r="O64" i="1"/>
  <c r="P66" i="1"/>
  <c r="P65" i="1"/>
  <c r="G90" i="1" l="1" a="1"/>
  <c r="G72" i="1" a="1"/>
  <c r="G92" i="1" l="1"/>
  <c r="I92" i="1"/>
  <c r="G90" i="1"/>
  <c r="H91" i="1"/>
  <c r="G91" i="1"/>
  <c r="I91" i="1"/>
  <c r="H92" i="1"/>
  <c r="H90" i="1"/>
  <c r="I90" i="1"/>
  <c r="H72" i="1"/>
  <c r="H73" i="1"/>
  <c r="G74" i="1"/>
  <c r="G72" i="1"/>
  <c r="I72" i="1"/>
  <c r="H74" i="1"/>
  <c r="I74" i="1"/>
  <c r="G73" i="1"/>
  <c r="I73" i="1"/>
  <c r="G77" i="1" l="1" a="1"/>
  <c r="G77" i="1" l="1"/>
  <c r="I78" i="1"/>
  <c r="H79" i="1"/>
  <c r="G78" i="1"/>
  <c r="H78" i="1"/>
  <c r="I79" i="1"/>
  <c r="G79" i="1"/>
  <c r="H77" i="1"/>
  <c r="I77" i="1"/>
  <c r="H34" i="1" l="1"/>
  <c r="H35" i="1" s="1"/>
  <c r="H40" i="1"/>
  <c r="H41" i="1"/>
  <c r="I41" i="1" s="1"/>
  <c r="H39" i="1"/>
  <c r="O41" i="1" l="1"/>
  <c r="O39" i="1"/>
  <c r="O40" i="1"/>
  <c r="I39" i="1"/>
  <c r="I40" i="1"/>
</calcChain>
</file>

<file path=xl/sharedStrings.xml><?xml version="1.0" encoding="utf-8"?>
<sst xmlns="http://schemas.openxmlformats.org/spreadsheetml/2006/main" count="52" uniqueCount="40">
  <si>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</si>
  <si>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</si>
  <si>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</si>
  <si>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</si>
  <si>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</si>
  <si>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</si>
  <si>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</si>
  <si>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</si>
  <si>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</si>
  <si>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</si>
  <si>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</si>
  <si>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</si>
  <si>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</si>
  <si>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</si>
  <si>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</si>
  <si>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</si>
  <si>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</si>
  <si>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</si>
  <si>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</si>
  <si>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</si>
  <si>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</si>
  <si>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</si>
  <si>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</si>
  <si>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</si>
  <si>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</si>
  <si>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</si>
  <si>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</si>
  <si>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</si>
  <si>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</si>
  <si>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</si>
  <si>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</si>
  <si>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</si>
  <si>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</si>
  <si>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</si>
  <si>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</si>
  <si>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>Construction Matrix</t>
  </si>
  <si>
    <t>Kinematics Matrix</t>
  </si>
  <si>
    <t>Inverse Kinematics Matrix</t>
  </si>
  <si>
    <t>Perc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</si>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</sst>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mm/s&quot;"/>
    <numFmt numFmtId="168" formatCode="0.0\ &quot;°/s&quot;"/>
    <numFmt numFmtId="169" formatCode="0.0\ &quot;mm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5" formatCode="0\ &quot;mm/s&quot;"/>
    <numFmt numFmtId="176" formatCode="0.000\ \°"/>
    <numFmt numFmtId="177" formatCode="0.00000"/>
    <numFmt numFmtId="178" formatCode="0.0000000"/>
    <numFmt numFmtId="179" formatCode="0.000\ &quot;mm&quot;"/>
    <numFmt numFmtId="180" formatCode="0\ &quot;rpm&quot;"/>
    <numFmt numFmtId="183" formatCode="_-* #,##0\ _€_-;\-* #,##0\ _€_-;_-* &quot;-&quot;??\ _€_-;_-@_-"/>
    <numFmt numFmtId="184" formatCode="0.00000\ &quot;1/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9" fontId="0" fillId="0" borderId="0" xfId="0" applyNumberForma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7" fontId="0" fillId="0" borderId="5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175" fontId="0" fillId="0" borderId="0" xfId="0" applyNumberFormat="1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0" fontId="0" fillId="0" borderId="0" xfId="0" applyNumberFormat="1" applyBorder="1"/>
    <xf numFmtId="180" fontId="0" fillId="0" borderId="7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3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4" fontId="7" fillId="0" borderId="0" xfId="0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02608"/>
        <c:axId val="407598296"/>
      </c:scatterChart>
      <c:valAx>
        <c:axId val="40760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598296"/>
        <c:crosses val="autoZero"/>
        <c:crossBetween val="midCat"/>
      </c:valAx>
      <c:valAx>
        <c:axId val="407598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60260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38</xdr:row>
      <xdr:rowOff>9525</xdr:rowOff>
    </xdr:from>
    <xdr:ext cx="752475" cy="200025"/>
    <xdr:sp macro="" textlink="">
      <xdr:nvSpPr>
        <xdr:cNvPr id="9" name="Textfeld 8"/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39</xdr:row>
      <xdr:rowOff>28575</xdr:rowOff>
    </xdr:from>
    <xdr:ext cx="752475" cy="200025"/>
    <xdr:sp macro="" textlink="">
      <xdr:nvSpPr>
        <xdr:cNvPr id="10" name="Textfeld 9"/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40</xdr:row>
      <xdr:rowOff>19050</xdr:rowOff>
    </xdr:from>
    <xdr:ext cx="752475" cy="200025"/>
    <xdr:sp macro="" textlink="">
      <xdr:nvSpPr>
        <xdr:cNvPr id="11" name="Textfeld 10"/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38</xdr:row>
      <xdr:rowOff>9525</xdr:rowOff>
    </xdr:from>
    <xdr:ext cx="752475" cy="200025"/>
    <xdr:sp macro="" textlink="">
      <xdr:nvSpPr>
        <xdr:cNvPr id="14" name="Textfeld 13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39</xdr:row>
      <xdr:rowOff>9525</xdr:rowOff>
    </xdr:from>
    <xdr:ext cx="752475" cy="200025"/>
    <xdr:sp macro="" textlink="">
      <xdr:nvSpPr>
        <xdr:cNvPr id="15" name="Textfeld 14"/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40</xdr:row>
      <xdr:rowOff>1258</xdr:rowOff>
    </xdr:from>
    <xdr:ext cx="752475" cy="200025"/>
    <xdr:sp macro="" textlink="">
      <xdr:nvSpPr>
        <xdr:cNvPr id="16" name="Textfeld 15"/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21</xdr:row>
      <xdr:rowOff>9525</xdr:rowOff>
    </xdr:from>
    <xdr:ext cx="752475" cy="200025"/>
    <xdr:sp macro="" textlink="">
      <xdr:nvSpPr>
        <xdr:cNvPr id="18" name="Textfeld 17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22</xdr:row>
      <xdr:rowOff>0</xdr:rowOff>
    </xdr:from>
    <xdr:ext cx="752475" cy="200025"/>
    <xdr:sp macro="" textlink="">
      <xdr:nvSpPr>
        <xdr:cNvPr id="19" name="Textfeld 18"/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57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56</xdr:row>
      <xdr:rowOff>0</xdr:rowOff>
    </xdr:from>
    <xdr:ext cx="361950" cy="937629"/>
    <xdr:sp macro="" textlink="">
      <xdr:nvSpPr>
        <xdr:cNvPr id="31" name="Textfeld 30"/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69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38</xdr:row>
      <xdr:rowOff>0</xdr:rowOff>
    </xdr:from>
    <xdr:ext cx="752475" cy="200025"/>
    <xdr:sp macro="" textlink="">
      <xdr:nvSpPr>
        <xdr:cNvPr id="37" name="Textfeld 36"/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39</xdr:row>
      <xdr:rowOff>0</xdr:rowOff>
    </xdr:from>
    <xdr:ext cx="752475" cy="200025"/>
    <xdr:sp macro="" textlink="">
      <xdr:nvSpPr>
        <xdr:cNvPr id="38" name="Textfeld 37"/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39</xdr:row>
      <xdr:rowOff>171450</xdr:rowOff>
    </xdr:from>
    <xdr:ext cx="752475" cy="200025"/>
    <xdr:sp macro="" textlink="">
      <xdr:nvSpPr>
        <xdr:cNvPr id="39" name="Textfeld 38"/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49</xdr:row>
      <xdr:rowOff>8986</xdr:rowOff>
    </xdr:from>
    <xdr:ext cx="752475" cy="200025"/>
    <xdr:sp macro="" textlink="">
      <xdr:nvSpPr>
        <xdr:cNvPr id="47" name="Textfeld 46"/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47</xdr:row>
      <xdr:rowOff>179717</xdr:rowOff>
    </xdr:from>
    <xdr:ext cx="752475" cy="200025"/>
    <xdr:sp macro="" textlink="">
      <xdr:nvSpPr>
        <xdr:cNvPr id="48" name="Textfeld 47"/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75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63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83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12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13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62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64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51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51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57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18</xdr:row>
      <xdr:rowOff>95250</xdr:rowOff>
    </xdr:from>
    <xdr:to>
      <xdr:col>9</xdr:col>
      <xdr:colOff>407193</xdr:colOff>
      <xdr:row>30</xdr:row>
      <xdr:rowOff>26194</xdr:rowOff>
    </xdr:to>
    <xdr:grpSp>
      <xdr:nvGrpSpPr>
        <xdr:cNvPr id="49" name="Gruppieren 48"/>
        <xdr:cNvGrpSpPr/>
      </xdr:nvGrpSpPr>
      <xdr:grpSpPr>
        <a:xfrm>
          <a:off x="4889183" y="3387090"/>
          <a:ext cx="3061810" cy="2133124"/>
          <a:chOff x="251520" y="764704"/>
          <a:chExt cx="6192688" cy="5088580"/>
        </a:xfrm>
      </xdr:grpSpPr>
      <xdr:sp macro="" textlink="">
        <xdr:nvSpPr>
          <xdr:cNvPr id="50" name="Rechteck 49"/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/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/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/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/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/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/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/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/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/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/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/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/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/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/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/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/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/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/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/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/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/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/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/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/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/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/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/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/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/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/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/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27</xdr:row>
      <xdr:rowOff>6313</xdr:rowOff>
    </xdr:from>
    <xdr:ext cx="752475" cy="200025"/>
    <xdr:sp macro="" textlink="">
      <xdr:nvSpPr>
        <xdr:cNvPr id="106" name="Textfeld 105"/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25</xdr:row>
      <xdr:rowOff>179717</xdr:rowOff>
    </xdr:from>
    <xdr:ext cx="752475" cy="200025"/>
    <xdr:sp macro="" textlink="">
      <xdr:nvSpPr>
        <xdr:cNvPr id="108" name="Textfeld 107"/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29</xdr:row>
      <xdr:rowOff>15305</xdr:rowOff>
    </xdr:from>
    <xdr:ext cx="752475" cy="200025"/>
    <xdr:sp macro="" textlink="">
      <xdr:nvSpPr>
        <xdr:cNvPr id="111" name="Textfeld 110"/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28</xdr:row>
      <xdr:rowOff>7</xdr:rowOff>
    </xdr:from>
    <xdr:ext cx="752475" cy="200025"/>
    <xdr:sp macro="" textlink="">
      <xdr:nvSpPr>
        <xdr:cNvPr id="112" name="Textfeld 111"/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44</xdr:row>
      <xdr:rowOff>15334</xdr:rowOff>
    </xdr:from>
    <xdr:ext cx="752475" cy="200025"/>
    <xdr:sp macro="" textlink="">
      <xdr:nvSpPr>
        <xdr:cNvPr id="114" name="Textfeld 113"/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43</xdr:row>
      <xdr:rowOff>36</xdr:rowOff>
    </xdr:from>
    <xdr:ext cx="752475" cy="200025"/>
    <xdr:sp macro="" textlink="">
      <xdr:nvSpPr>
        <xdr:cNvPr id="115" name="Textfeld 114"/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29</xdr:row>
      <xdr:rowOff>186372</xdr:rowOff>
    </xdr:from>
    <xdr:ext cx="752475" cy="200025"/>
    <xdr:sp macro="" textlink="">
      <xdr:nvSpPr>
        <xdr:cNvPr id="116" name="Textfeld 115"/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35</xdr:row>
      <xdr:rowOff>24307</xdr:rowOff>
    </xdr:from>
    <xdr:ext cx="752475" cy="200025"/>
    <xdr:sp macro="" textlink="">
      <xdr:nvSpPr>
        <xdr:cNvPr id="119" name="Textfeld 118"/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34</xdr:row>
      <xdr:rowOff>9009</xdr:rowOff>
    </xdr:from>
    <xdr:ext cx="752475" cy="200025"/>
    <xdr:sp macro="" textlink="">
      <xdr:nvSpPr>
        <xdr:cNvPr id="120" name="Textfeld 119"/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96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104"/>
  <sheetViews>
    <sheetView topLeftCell="B58" zoomScaleNormal="100" workbookViewId="0">
      <selection activeCell="K77" sqref="K77"/>
    </sheetView>
  </sheetViews>
  <sheetFormatPr baseColWidth="10" defaultRowHeight="14.4" x14ac:dyDescent="0.3"/>
  <cols>
    <col min="2" max="2" width="13" bestFit="1" customWidth="1"/>
    <col min="4" max="4" width="13.5546875" customWidth="1"/>
    <col min="8" max="8" width="13" customWidth="1"/>
    <col min="9" max="9" width="12.6640625" bestFit="1" customWidth="1"/>
    <col min="10" max="10" width="11.5546875" bestFit="1" customWidth="1"/>
    <col min="11" max="11" width="12.6640625" bestFit="1" customWidth="1"/>
    <col min="12" max="12" width="14.6640625" bestFit="1" customWidth="1"/>
    <col min="13" max="13" width="12" bestFit="1" customWidth="1"/>
    <col min="14" max="14" width="11.6640625" bestFit="1" customWidth="1"/>
    <col min="15" max="16" width="12.6640625" bestFit="1" customWidth="1"/>
  </cols>
  <sheetData>
    <row r="13" spans="1:8" x14ac:dyDescent="0.3">
      <c r="A13" s="8" t="s">
        <v>15</v>
      </c>
      <c r="H13" s="8" t="s">
        <v>11</v>
      </c>
    </row>
    <row r="21" spans="1:9" x14ac:dyDescent="0.3">
      <c r="A21" s="1" t="s">
        <v>0</v>
      </c>
      <c r="B21" s="2">
        <v>40</v>
      </c>
      <c r="C21" s="10" t="s">
        <v>1</v>
      </c>
    </row>
    <row r="22" spans="1:9" x14ac:dyDescent="0.3">
      <c r="A22" s="1"/>
      <c r="B22" s="9">
        <v>120</v>
      </c>
      <c r="C22" s="10" t="s">
        <v>6</v>
      </c>
    </row>
    <row r="23" spans="1:9" x14ac:dyDescent="0.3">
      <c r="A23" s="1"/>
      <c r="B23" s="9">
        <v>24</v>
      </c>
      <c r="C23" s="10" t="s">
        <v>7</v>
      </c>
    </row>
    <row r="24" spans="1:9" x14ac:dyDescent="0.3">
      <c r="A24" s="43" t="s">
        <v>18</v>
      </c>
      <c r="B24" s="49">
        <v>0.01</v>
      </c>
      <c r="C24" s="10" t="s">
        <v>19</v>
      </c>
    </row>
    <row r="25" spans="1:9" ht="15" thickBot="1" x14ac:dyDescent="0.35"/>
    <row r="26" spans="1:9" x14ac:dyDescent="0.3">
      <c r="A26" s="17" t="s">
        <v>26</v>
      </c>
      <c r="B26" s="18"/>
      <c r="C26" s="18"/>
      <c r="D26" s="19"/>
    </row>
    <row r="27" spans="1:9" x14ac:dyDescent="0.3">
      <c r="A27" s="20"/>
      <c r="B27" s="41">
        <v>1000</v>
      </c>
      <c r="C27" s="22" t="s">
        <v>16</v>
      </c>
      <c r="D27" s="23"/>
      <c r="F27" s="15"/>
      <c r="G27" s="7"/>
      <c r="H27" s="15"/>
      <c r="I27" s="7"/>
    </row>
    <row r="28" spans="1:9" x14ac:dyDescent="0.3">
      <c r="A28" s="20"/>
      <c r="B28" s="41">
        <v>1000</v>
      </c>
      <c r="C28" s="22" t="s">
        <v>17</v>
      </c>
      <c r="D28" s="23"/>
    </row>
    <row r="29" spans="1:9" x14ac:dyDescent="0.3">
      <c r="A29" s="20"/>
      <c r="B29" s="41">
        <v>50</v>
      </c>
      <c r="C29" s="22" t="s">
        <v>20</v>
      </c>
      <c r="D29" s="23"/>
    </row>
    <row r="30" spans="1:9" x14ac:dyDescent="0.3">
      <c r="A30" s="20"/>
      <c r="B30" s="41">
        <v>0</v>
      </c>
      <c r="C30" s="22" t="s">
        <v>21</v>
      </c>
      <c r="D30" s="23"/>
    </row>
    <row r="31" spans="1:9" ht="15" thickBot="1" x14ac:dyDescent="0.35">
      <c r="A31" s="24"/>
      <c r="B31" s="32">
        <v>10</v>
      </c>
      <c r="C31" s="26" t="s">
        <v>5</v>
      </c>
      <c r="D31" s="27"/>
    </row>
    <row r="32" spans="1:9" ht="15" thickBot="1" x14ac:dyDescent="0.35">
      <c r="A32" s="39"/>
      <c r="B32" s="41"/>
      <c r="C32" s="22"/>
      <c r="D32" s="39"/>
    </row>
    <row r="33" spans="1:15" x14ac:dyDescent="0.3">
      <c r="A33" s="50" t="s">
        <v>29</v>
      </c>
      <c r="B33" s="54"/>
      <c r="C33" s="45"/>
      <c r="D33" s="19"/>
      <c r="H33">
        <v>351</v>
      </c>
    </row>
    <row r="34" spans="1:15" x14ac:dyDescent="0.3">
      <c r="A34" s="55" t="s">
        <v>30</v>
      </c>
      <c r="B34" s="56">
        <f>B31*B24</f>
        <v>0.1</v>
      </c>
      <c r="C34" s="22" t="s">
        <v>31</v>
      </c>
      <c r="D34" s="23"/>
      <c r="H34">
        <f>DEGREES(G77)*1000/360*60*3</f>
        <v>-914.39819812847691</v>
      </c>
    </row>
    <row r="35" spans="1:15" x14ac:dyDescent="0.3">
      <c r="A35" s="20"/>
      <c r="B35" s="59">
        <v>48</v>
      </c>
      <c r="C35" s="22" t="s">
        <v>32</v>
      </c>
      <c r="D35" s="23"/>
      <c r="H35">
        <f>H33/H34</f>
        <v>-0.38385902413018863</v>
      </c>
    </row>
    <row r="36" spans="1:15" ht="15" thickBot="1" x14ac:dyDescent="0.35">
      <c r="A36" s="24"/>
      <c r="B36" s="60">
        <f>B29*B100+B30*D100</f>
        <v>8.7266418294915438E-2</v>
      </c>
      <c r="C36" s="26" t="s">
        <v>32</v>
      </c>
      <c r="D36" s="27"/>
    </row>
    <row r="37" spans="1:15" ht="15" thickBot="1" x14ac:dyDescent="0.35"/>
    <row r="38" spans="1:15" x14ac:dyDescent="0.3">
      <c r="A38" s="17" t="s">
        <v>27</v>
      </c>
      <c r="B38" s="28"/>
      <c r="C38" s="29"/>
      <c r="D38" s="19"/>
      <c r="G38" s="50" t="s">
        <v>28</v>
      </c>
      <c r="H38" s="18"/>
      <c r="I38" s="18"/>
      <c r="J38" s="18"/>
      <c r="K38" s="19"/>
      <c r="N38" s="50" t="s">
        <v>11</v>
      </c>
      <c r="O38" s="19"/>
    </row>
    <row r="39" spans="1:15" x14ac:dyDescent="0.3">
      <c r="A39" s="30"/>
      <c r="B39" s="51">
        <v>10</v>
      </c>
      <c r="C39" s="22" t="s">
        <v>3</v>
      </c>
      <c r="D39" s="23"/>
      <c r="G39" s="20"/>
      <c r="H39" s="21">
        <f>DEGREES(G77*B39+H77*B40+I77*RADIANS(B41))</f>
        <v>-18.287963962569538</v>
      </c>
      <c r="I39" s="64">
        <f>H39/360*60</f>
        <v>-3.0479939937615899</v>
      </c>
      <c r="J39" s="22" t="s">
        <v>8</v>
      </c>
      <c r="K39" s="23"/>
      <c r="L39" s="73"/>
      <c r="N39" s="20"/>
      <c r="O39" s="33">
        <f>RADIANS(G90*H39+H90*H40+I90*H41)</f>
        <v>10</v>
      </c>
    </row>
    <row r="40" spans="1:15" x14ac:dyDescent="0.3">
      <c r="A40" s="30"/>
      <c r="B40" s="51">
        <v>0</v>
      </c>
      <c r="C40" s="22" t="s">
        <v>4</v>
      </c>
      <c r="D40" s="23"/>
      <c r="F40" s="1"/>
      <c r="G40" s="20"/>
      <c r="H40" s="21">
        <f>DEGREES(G78*B39+H78*B40+I78*RADIANS(B41))</f>
        <v>9.1439819812847691</v>
      </c>
      <c r="I40" s="64">
        <f>H40/360*60</f>
        <v>1.5239969968807949</v>
      </c>
      <c r="J40" s="22" t="s">
        <v>9</v>
      </c>
      <c r="K40" s="23"/>
      <c r="L40" s="73"/>
      <c r="N40" s="20"/>
      <c r="O40" s="33">
        <f>RADIANS((G91*H39+H91*H40+I91*H41))</f>
        <v>0</v>
      </c>
    </row>
    <row r="41" spans="1:15" ht="15" thickBot="1" x14ac:dyDescent="0.35">
      <c r="A41" s="31"/>
      <c r="B41" s="32">
        <v>0</v>
      </c>
      <c r="C41" s="26" t="s">
        <v>5</v>
      </c>
      <c r="D41" s="27"/>
      <c r="G41" s="24"/>
      <c r="H41" s="25">
        <f>DEGREES(G79*B39+H79*B40+I79*RADIANS(B41))</f>
        <v>9.1439819812847691</v>
      </c>
      <c r="I41" s="65">
        <f>H41/360*60</f>
        <v>1.5239969968807949</v>
      </c>
      <c r="J41" s="26" t="s">
        <v>10</v>
      </c>
      <c r="K41" s="27"/>
      <c r="L41" s="73"/>
      <c r="N41" s="24"/>
      <c r="O41" s="34">
        <f>(K92*H39+L92*H40+M92*H41)/B22</f>
        <v>0</v>
      </c>
    </row>
    <row r="42" spans="1:15" ht="15" thickBot="1" x14ac:dyDescent="0.35">
      <c r="A42" s="40"/>
      <c r="B42" s="42"/>
      <c r="C42" s="22"/>
      <c r="D42" s="39"/>
      <c r="G42" s="39"/>
      <c r="H42" s="21"/>
      <c r="I42" s="22"/>
      <c r="J42" s="39"/>
      <c r="K42" s="13"/>
      <c r="M42" s="39"/>
      <c r="N42" s="42"/>
    </row>
    <row r="43" spans="1:15" x14ac:dyDescent="0.3">
      <c r="A43" s="17" t="s">
        <v>24</v>
      </c>
      <c r="B43" s="44"/>
      <c r="C43" s="45"/>
      <c r="D43" s="19"/>
      <c r="G43" s="39"/>
      <c r="H43" s="21"/>
      <c r="I43" s="22"/>
      <c r="J43" s="39"/>
      <c r="K43" s="13"/>
      <c r="M43" s="39"/>
      <c r="N43" s="42"/>
    </row>
    <row r="44" spans="1:15" x14ac:dyDescent="0.3">
      <c r="A44" s="46"/>
      <c r="B44" s="41">
        <f>B27+B29</f>
        <v>1050</v>
      </c>
      <c r="C44" s="52" t="s">
        <v>22</v>
      </c>
      <c r="D44" s="23"/>
      <c r="G44" s="39"/>
      <c r="H44" s="21"/>
      <c r="I44" s="22"/>
      <c r="J44" s="39"/>
      <c r="K44" s="13"/>
      <c r="M44" s="39"/>
      <c r="N44" s="42"/>
    </row>
    <row r="45" spans="1:15" ht="15" thickBot="1" x14ac:dyDescent="0.35">
      <c r="A45" s="47"/>
      <c r="B45" s="48">
        <f>B28+B30</f>
        <v>1000</v>
      </c>
      <c r="C45" s="53" t="s">
        <v>23</v>
      </c>
      <c r="D45" s="27"/>
      <c r="G45" s="39"/>
      <c r="H45" s="21"/>
      <c r="I45" s="22"/>
      <c r="J45" s="39"/>
      <c r="K45" s="13"/>
      <c r="M45" s="39"/>
      <c r="N45" s="42"/>
    </row>
    <row r="46" spans="1:15" x14ac:dyDescent="0.3">
      <c r="A46" s="40"/>
      <c r="B46" s="42"/>
      <c r="C46" s="22"/>
      <c r="D46" s="39"/>
      <c r="G46" s="39"/>
      <c r="H46" s="21"/>
      <c r="I46" s="22"/>
      <c r="J46" s="39"/>
      <c r="K46" s="13"/>
      <c r="M46" s="39"/>
      <c r="N46" s="42"/>
    </row>
    <row r="47" spans="1:15" ht="15" thickBot="1" x14ac:dyDescent="0.35">
      <c r="A47" s="1"/>
      <c r="B47" s="2"/>
    </row>
    <row r="48" spans="1:15" x14ac:dyDescent="0.3">
      <c r="A48" s="35" t="s">
        <v>12</v>
      </c>
      <c r="B48" s="36"/>
    </row>
    <row r="49" spans="1:17" x14ac:dyDescent="0.3">
      <c r="A49" s="30"/>
      <c r="B49" s="37">
        <v>0</v>
      </c>
      <c r="C49" s="15" t="s">
        <v>13</v>
      </c>
      <c r="D49" s="7">
        <f>SIN(RADIANS(B49))</f>
        <v>0</v>
      </c>
      <c r="E49" s="15" t="s">
        <v>14</v>
      </c>
      <c r="F49" s="7">
        <f>COS(RADIANS(B49))</f>
        <v>1</v>
      </c>
    </row>
    <row r="50" spans="1:17" ht="15" thickBot="1" x14ac:dyDescent="0.35">
      <c r="A50" s="31"/>
      <c r="B50" s="38">
        <v>0</v>
      </c>
      <c r="C50" s="15" t="s">
        <v>13</v>
      </c>
      <c r="D50" s="7">
        <f>SIN(RADIANS(B50))</f>
        <v>0</v>
      </c>
      <c r="E50" s="15" t="s">
        <v>14</v>
      </c>
      <c r="F50" s="7">
        <f>COS(RADIANS(B50))</f>
        <v>1</v>
      </c>
    </row>
    <row r="51" spans="1:17" x14ac:dyDescent="0.3">
      <c r="A51" s="1"/>
    </row>
    <row r="53" spans="1:17" ht="16.2" x14ac:dyDescent="0.35">
      <c r="A53" t="s">
        <v>35</v>
      </c>
      <c r="B53" s="3"/>
      <c r="F53" s="70">
        <v>0</v>
      </c>
      <c r="G53" s="71">
        <f>-1/(B23)*COS(RADIANS(B21))</f>
        <v>-3.1918518463290746E-2</v>
      </c>
      <c r="H53" s="72">
        <f>1/(B23)*SIN(RADIANS(B21))</f>
        <v>2.6782817070272469E-2</v>
      </c>
      <c r="N53" s="70">
        <f t="array" ref="N53:P55">MINVERSE(F53:H55)</f>
        <v>-2.008199606335268E-15</v>
      </c>
      <c r="O53" s="62">
        <v>18.088253997554176</v>
      </c>
      <c r="P53" s="63">
        <v>-18.08825399755418</v>
      </c>
    </row>
    <row r="54" spans="1:17" x14ac:dyDescent="0.3">
      <c r="E54" t="s">
        <v>2</v>
      </c>
      <c r="F54" s="70">
        <f>1/(B23)*SQRT(3)/2*COS(RADIANS(B21))</f>
        <v>2.764224784037243E-2</v>
      </c>
      <c r="G54" s="71">
        <f>1/(B23)*COS(RADIANS(B21))/2</f>
        <v>1.5959259231645373E-2</v>
      </c>
      <c r="H54" s="72">
        <f>1/(B23)*SIN(RADIANS(B21))</f>
        <v>2.6782817070272469E-2</v>
      </c>
      <c r="I54" s="4"/>
      <c r="N54" s="61">
        <v>-20.886516629316461</v>
      </c>
      <c r="O54" s="62">
        <v>10.443258314658232</v>
      </c>
      <c r="P54" s="63">
        <v>10.443258314658232</v>
      </c>
      <c r="Q54" t="s">
        <v>2</v>
      </c>
    </row>
    <row r="55" spans="1:17" x14ac:dyDescent="0.3">
      <c r="F55" s="70">
        <f>-1/(B23)*SQRT(3)/2*COS(RADIANS(B21))</f>
        <v>-2.764224784037243E-2</v>
      </c>
      <c r="G55" s="71">
        <f>1/(B23)*COS(RADIANS(B21))/2</f>
        <v>1.5959259231645373E-2</v>
      </c>
      <c r="H55" s="72">
        <f>1/(B23)*SIN(RADIANS(B21))</f>
        <v>2.6782817070272469E-2</v>
      </c>
      <c r="N55" s="61">
        <v>12.4457906148833</v>
      </c>
      <c r="O55" s="62">
        <v>12.4457906148833</v>
      </c>
      <c r="P55" s="63">
        <v>12.4457906148833</v>
      </c>
    </row>
    <row r="58" spans="1:17" x14ac:dyDescent="0.3">
      <c r="F58" s="66">
        <v>0</v>
      </c>
      <c r="G58" s="67">
        <v>-1</v>
      </c>
      <c r="H58" s="68">
        <v>0</v>
      </c>
      <c r="N58" s="61">
        <f t="array" ref="N58:P60">MINVERSE(F58:H60)</f>
        <v>0</v>
      </c>
      <c r="O58" s="62">
        <v>1</v>
      </c>
      <c r="P58" s="63">
        <v>0</v>
      </c>
    </row>
    <row r="59" spans="1:17" x14ac:dyDescent="0.3">
      <c r="C59" t="s">
        <v>2</v>
      </c>
      <c r="F59" s="66">
        <v>1</v>
      </c>
      <c r="G59" s="67">
        <v>0</v>
      </c>
      <c r="H59" s="68">
        <v>0</v>
      </c>
      <c r="N59" s="61">
        <v>-1</v>
      </c>
      <c r="O59" s="62">
        <v>0</v>
      </c>
      <c r="P59" s="63">
        <v>0</v>
      </c>
    </row>
    <row r="60" spans="1:17" x14ac:dyDescent="0.3">
      <c r="F60" s="66">
        <v>0</v>
      </c>
      <c r="G60" s="67">
        <v>0</v>
      </c>
      <c r="H60" s="68">
        <f>-B22</f>
        <v>-120</v>
      </c>
      <c r="N60" s="61">
        <v>0</v>
      </c>
      <c r="O60" s="62">
        <v>0</v>
      </c>
      <c r="P60" s="63">
        <v>-8.3333333333333332E-3</v>
      </c>
    </row>
    <row r="61" spans="1:17" x14ac:dyDescent="0.3">
      <c r="D61" s="12"/>
      <c r="E61" s="12"/>
      <c r="F61" s="12"/>
    </row>
    <row r="62" spans="1:17" x14ac:dyDescent="0.3">
      <c r="A62" t="s">
        <v>25</v>
      </c>
      <c r="D62" s="12"/>
      <c r="E62" s="12"/>
      <c r="F62" s="12"/>
    </row>
    <row r="63" spans="1:17" x14ac:dyDescent="0.3">
      <c r="D63" s="6"/>
      <c r="E63" s="6"/>
      <c r="F63" s="6"/>
    </row>
    <row r="64" spans="1:17" x14ac:dyDescent="0.3">
      <c r="D64" s="6"/>
      <c r="E64" s="6"/>
      <c r="F64" s="6"/>
      <c r="J64" s="70">
        <f>F50</f>
        <v>1</v>
      </c>
      <c r="K64" s="71">
        <v>0</v>
      </c>
      <c r="L64" s="72">
        <f>D50</f>
        <v>0</v>
      </c>
      <c r="N64" s="61">
        <f t="array" ref="N64:P66">TRANSPOSE(J64:L66)</f>
        <v>1</v>
      </c>
      <c r="O64" s="62">
        <v>0</v>
      </c>
      <c r="P64" s="63">
        <v>0</v>
      </c>
    </row>
    <row r="65" spans="1:16" x14ac:dyDescent="0.3">
      <c r="D65" s="6"/>
      <c r="E65" s="6"/>
      <c r="F65" s="6"/>
      <c r="J65" s="70">
        <f>D49*D50</f>
        <v>0</v>
      </c>
      <c r="K65" s="71">
        <f>F49</f>
        <v>1</v>
      </c>
      <c r="L65" s="72">
        <f>-D49*F50</f>
        <v>0</v>
      </c>
      <c r="N65" s="61">
        <v>0</v>
      </c>
      <c r="O65" s="62">
        <v>1</v>
      </c>
      <c r="P65" s="63">
        <v>0</v>
      </c>
    </row>
    <row r="66" spans="1:16" x14ac:dyDescent="0.3">
      <c r="I66" s="7"/>
      <c r="J66" s="70">
        <f>-F49*D50</f>
        <v>0</v>
      </c>
      <c r="K66" s="71">
        <f>D49</f>
        <v>0</v>
      </c>
      <c r="L66" s="72">
        <f>F49*F50</f>
        <v>1</v>
      </c>
      <c r="N66" s="61">
        <v>0</v>
      </c>
      <c r="O66" s="62">
        <v>0</v>
      </c>
      <c r="P66" s="63">
        <v>1</v>
      </c>
    </row>
    <row r="67" spans="1:16" x14ac:dyDescent="0.3">
      <c r="D67" s="6"/>
      <c r="E67" s="6"/>
      <c r="F67" s="6"/>
      <c r="I67" s="7"/>
      <c r="J67" s="7"/>
      <c r="K67" s="7"/>
      <c r="M67" s="14"/>
    </row>
    <row r="68" spans="1:16" x14ac:dyDescent="0.3">
      <c r="D68" s="6"/>
      <c r="E68" s="6"/>
      <c r="F68" s="6"/>
      <c r="I68" s="7"/>
      <c r="J68" s="7"/>
      <c r="K68" s="7"/>
    </row>
    <row r="69" spans="1:16" x14ac:dyDescent="0.3">
      <c r="D69" s="6"/>
      <c r="E69" s="6"/>
      <c r="F69" s="6"/>
    </row>
    <row r="72" spans="1:16" x14ac:dyDescent="0.3">
      <c r="G72" s="70">
        <f t="array" ref="G72:I74">MMULT(F53:H55,N64:P66)</f>
        <v>0</v>
      </c>
      <c r="H72" s="71">
        <v>-3.1918518463290746E-2</v>
      </c>
      <c r="I72" s="72">
        <v>2.6782817070272469E-2</v>
      </c>
      <c r="K72" s="7">
        <f>F53*J64+G53*K64+H53*L64</f>
        <v>0</v>
      </c>
      <c r="L72" s="7">
        <f>F53*J65+G53*K65+H53*L65</f>
        <v>-3.1918518463290746E-2</v>
      </c>
      <c r="M72" s="7">
        <f>F53*J66+G53*K66+H53*L66</f>
        <v>2.6782817070272469E-2</v>
      </c>
    </row>
    <row r="73" spans="1:16" x14ac:dyDescent="0.3">
      <c r="C73" s="11"/>
      <c r="F73" t="s">
        <v>2</v>
      </c>
      <c r="G73" s="70">
        <v>2.764224784037243E-2</v>
      </c>
      <c r="H73" s="71">
        <v>1.5959259231645373E-2</v>
      </c>
      <c r="I73" s="72">
        <v>2.6782817070272469E-2</v>
      </c>
      <c r="K73" s="7">
        <f>F54*J64+G54*K64+H54*L64</f>
        <v>2.764224784037243E-2</v>
      </c>
      <c r="L73" s="7">
        <f>F54*J65+G54*K65+H54*L65</f>
        <v>1.5959259231645373E-2</v>
      </c>
      <c r="M73" s="7">
        <f>F54*J66+G54*K66+H53*L66</f>
        <v>2.6782817070272469E-2</v>
      </c>
    </row>
    <row r="74" spans="1:16" x14ac:dyDescent="0.3">
      <c r="G74" s="70">
        <v>-2.764224784037243E-2</v>
      </c>
      <c r="H74" s="71">
        <v>1.5959259231645373E-2</v>
      </c>
      <c r="I74" s="72">
        <v>2.6782817070272469E-2</v>
      </c>
      <c r="K74" s="7">
        <f>F55*J64+G55*K64+H55*L64</f>
        <v>-2.764224784037243E-2</v>
      </c>
      <c r="L74" s="7">
        <f>F55*J65+G55*K65+H55*L65</f>
        <v>1.5959259231645373E-2</v>
      </c>
      <c r="M74" s="7">
        <f>F55*J66+G55*K66+H53*L66</f>
        <v>2.6782817070272469E-2</v>
      </c>
    </row>
    <row r="76" spans="1:16" x14ac:dyDescent="0.3">
      <c r="K76" s="8" t="s">
        <v>36</v>
      </c>
    </row>
    <row r="77" spans="1:16" x14ac:dyDescent="0.3">
      <c r="A77" s="8"/>
      <c r="G77" s="61">
        <f t="array" ref="G77:I79">MMULT(G72:I74,F58:H60)</f>
        <v>-3.1918518463290746E-2</v>
      </c>
      <c r="H77" s="62">
        <v>0</v>
      </c>
      <c r="I77" s="63">
        <v>-3.2139380484326963</v>
      </c>
      <c r="K77" s="7">
        <f>G53*K65+H53*L65</f>
        <v>-3.1918518463290746E-2</v>
      </c>
      <c r="L77" s="7">
        <f>-(H53*L64)</f>
        <v>0</v>
      </c>
      <c r="M77" s="7">
        <f>(G53*K66+H53*L66)*H60</f>
        <v>-3.2139380484326963</v>
      </c>
    </row>
    <row r="78" spans="1:16" x14ac:dyDescent="0.3">
      <c r="F78" s="14" t="s">
        <v>2</v>
      </c>
      <c r="G78" s="61">
        <v>1.5959259231645373E-2</v>
      </c>
      <c r="H78" s="62">
        <v>-2.764224784037243E-2</v>
      </c>
      <c r="I78" s="63">
        <v>-3.2139380484326963</v>
      </c>
      <c r="K78" s="7">
        <f>F54*J65+G54*K65+H53*L65</f>
        <v>1.5959259231645373E-2</v>
      </c>
      <c r="L78" s="7">
        <f>-F54*J64-H53*L64</f>
        <v>-2.764224784037243E-2</v>
      </c>
      <c r="M78" s="7">
        <f>(F54*J66+G54*K66+H53*L66)*H60</f>
        <v>-3.2139380484326963</v>
      </c>
    </row>
    <row r="79" spans="1:16" x14ac:dyDescent="0.3">
      <c r="G79" s="61">
        <v>1.5959259231645373E-2</v>
      </c>
      <c r="H79" s="62">
        <v>2.764224784037243E-2</v>
      </c>
      <c r="I79" s="63">
        <v>-3.2139380484326963</v>
      </c>
      <c r="K79" s="7">
        <f>-F54*J65+G54*K65+H53*L65</f>
        <v>1.5959259231645373E-2</v>
      </c>
      <c r="L79" s="7">
        <f>F54*J64-H53*L64</f>
        <v>2.764224784037243E-2</v>
      </c>
      <c r="M79" s="7">
        <f>(-F54*J66+G54*K66+H53*L66)*H60</f>
        <v>-3.2139380484326963</v>
      </c>
    </row>
    <row r="81" spans="1:13" x14ac:dyDescent="0.3">
      <c r="G81" s="5"/>
      <c r="H81" s="5"/>
      <c r="I81" s="5"/>
      <c r="K81" s="16"/>
      <c r="L81" s="69"/>
      <c r="M81" s="16"/>
    </row>
    <row r="82" spans="1:13" x14ac:dyDescent="0.3">
      <c r="G82" s="5"/>
      <c r="H82" s="5"/>
      <c r="I82" s="5"/>
      <c r="K82" s="16"/>
      <c r="L82" s="16"/>
      <c r="M82" s="16"/>
    </row>
    <row r="83" spans="1:13" x14ac:dyDescent="0.3">
      <c r="G83" s="5"/>
      <c r="H83" s="5"/>
      <c r="I83" s="5"/>
      <c r="K83" s="16"/>
      <c r="L83" s="16"/>
      <c r="M83" s="16"/>
    </row>
    <row r="85" spans="1:13" x14ac:dyDescent="0.3">
      <c r="G85" s="70">
        <f t="array" ref="G85:I87">MMULT(N58:P60,J64:L66)</f>
        <v>0</v>
      </c>
      <c r="H85" s="71">
        <v>1</v>
      </c>
      <c r="I85" s="72">
        <v>0</v>
      </c>
      <c r="K85" s="7">
        <f>J65</f>
        <v>0</v>
      </c>
      <c r="L85" s="7">
        <f>K65</f>
        <v>1</v>
      </c>
      <c r="M85" s="7">
        <f>L65</f>
        <v>0</v>
      </c>
    </row>
    <row r="86" spans="1:13" x14ac:dyDescent="0.3">
      <c r="G86" s="70">
        <v>-1</v>
      </c>
      <c r="H86" s="71">
        <v>0</v>
      </c>
      <c r="I86" s="72">
        <v>0</v>
      </c>
      <c r="K86" s="7">
        <f>-J64</f>
        <v>-1</v>
      </c>
      <c r="L86" s="7">
        <f>-F62*J72-H61*L72</f>
        <v>0</v>
      </c>
      <c r="M86" s="7">
        <f>-L64</f>
        <v>0</v>
      </c>
    </row>
    <row r="87" spans="1:13" x14ac:dyDescent="0.3">
      <c r="G87" s="70">
        <v>0</v>
      </c>
      <c r="H87" s="71">
        <v>0</v>
      </c>
      <c r="I87" s="72">
        <v>-8.3333333333333332E-3</v>
      </c>
      <c r="K87" s="7">
        <f>-J66/B22</f>
        <v>0</v>
      </c>
      <c r="L87" s="7">
        <f>-K66/B22</f>
        <v>0</v>
      </c>
      <c r="M87" s="7">
        <f>-L66/B22</f>
        <v>-8.3333333333333332E-3</v>
      </c>
    </row>
    <row r="89" spans="1:13" x14ac:dyDescent="0.3">
      <c r="A89" s="8" t="s">
        <v>11</v>
      </c>
      <c r="K89" s="8" t="s">
        <v>37</v>
      </c>
    </row>
    <row r="90" spans="1:13" x14ac:dyDescent="0.3">
      <c r="G90" s="61">
        <f t="array" ref="G90:I92">MMULT(G85:I87,N53:P55)</f>
        <v>-20.886516629316461</v>
      </c>
      <c r="H90" s="62">
        <v>10.443258314658232</v>
      </c>
      <c r="I90" s="63">
        <v>10.443258314658232</v>
      </c>
      <c r="K90" s="7">
        <f>(K65*N54+L65*N55)</f>
        <v>-20.886516629316461</v>
      </c>
      <c r="L90" s="7">
        <f>(J65*O53+K65*O54+L65*N55)</f>
        <v>10.443258314658232</v>
      </c>
      <c r="M90" s="7">
        <f>(-J65*O53+K65*O54+L65*N55)</f>
        <v>10.443258314658232</v>
      </c>
    </row>
    <row r="91" spans="1:13" x14ac:dyDescent="0.3">
      <c r="G91" s="61">
        <v>2.008199606335268E-15</v>
      </c>
      <c r="H91" s="62">
        <v>-18.088253997554176</v>
      </c>
      <c r="I91" s="63">
        <v>18.08825399755418</v>
      </c>
      <c r="K91" s="7">
        <f>(-L64*N55)</f>
        <v>0</v>
      </c>
      <c r="L91" s="7">
        <f>(-J64*O53-L64*N55)</f>
        <v>-18.088253997554176</v>
      </c>
      <c r="M91" s="7">
        <f>(J64*O53-L64*N55)</f>
        <v>18.088253997554176</v>
      </c>
    </row>
    <row r="92" spans="1:13" x14ac:dyDescent="0.3">
      <c r="G92" s="61">
        <v>-0.10371492179069416</v>
      </c>
      <c r="H92" s="62">
        <v>-0.10371492179069416</v>
      </c>
      <c r="I92" s="63">
        <v>-0.10371492179069416</v>
      </c>
      <c r="K92" s="7">
        <f>(-K66*N54-L66*N55)</f>
        <v>-12.4457906148833</v>
      </c>
      <c r="L92" s="7">
        <f>(-J66*O53-K66*O54-L66*N55)</f>
        <v>-12.4457906148833</v>
      </c>
      <c r="M92" s="7">
        <f>(J66*O53-K66*O54-L66*N55)</f>
        <v>-12.4457906148833</v>
      </c>
    </row>
    <row r="95" spans="1:13" x14ac:dyDescent="0.3">
      <c r="A95" s="8" t="s">
        <v>33</v>
      </c>
    </row>
    <row r="97" spans="1:4" x14ac:dyDescent="0.3">
      <c r="D97" s="59">
        <f>B29*D100-B30*B100</f>
        <v>49.999923845664384</v>
      </c>
    </row>
    <row r="98" spans="1:4" x14ac:dyDescent="0.3">
      <c r="D98" s="59">
        <f>B29*B100+B30*D100</f>
        <v>8.7266418294915438E-2</v>
      </c>
    </row>
    <row r="100" spans="1:4" x14ac:dyDescent="0.3">
      <c r="A100" s="15" t="s">
        <v>13</v>
      </c>
      <c r="B100" s="57">
        <f>SIN(RADIANS(B34))</f>
        <v>1.7453283658983088E-3</v>
      </c>
      <c r="C100" s="15" t="s">
        <v>14</v>
      </c>
      <c r="D100" s="58">
        <f>COS(RADIANS(B34))</f>
        <v>0.99999847691328769</v>
      </c>
    </row>
    <row r="104" spans="1:4" x14ac:dyDescent="0.3">
      <c r="A10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M27" sqref="M27"/>
    </sheetView>
  </sheetViews>
  <sheetFormatPr baseColWidth="10" defaultRowHeight="14.4" x14ac:dyDescent="0.3"/>
  <sheetData>
    <row r="1" spans="1:15" x14ac:dyDescent="0.3">
      <c r="L1">
        <v>1000</v>
      </c>
    </row>
    <row r="2" spans="1:15" x14ac:dyDescent="0.3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4">
        <f t="shared" ref="E2:E26" si="1">(D2-A2)/A2</f>
        <v>0</v>
      </c>
      <c r="G2">
        <v>10</v>
      </c>
      <c r="H2">
        <f>B27</f>
        <v>124</v>
      </c>
      <c r="I2" s="12">
        <f t="shared" ref="I2:I7" si="2">H2/$B$2*255</f>
        <v>17.091891891891891</v>
      </c>
      <c r="K2" t="s">
        <v>38</v>
      </c>
      <c r="L2">
        <f>L1/B2*255</f>
        <v>137.83783783783784</v>
      </c>
    </row>
    <row r="3" spans="1:15" x14ac:dyDescent="0.3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4">
        <f t="shared" si="1"/>
        <v>2.5031006877889339E-2</v>
      </c>
      <c r="G3">
        <v>25</v>
      </c>
      <c r="H3">
        <f>B25</f>
        <v>684</v>
      </c>
      <c r="I3" s="12">
        <f t="shared" si="2"/>
        <v>94.281081081081084</v>
      </c>
      <c r="K3" t="s">
        <v>39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3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4">
        <f t="shared" si="1"/>
        <v>5.2192312213471266E-2</v>
      </c>
      <c r="G4">
        <v>55</v>
      </c>
      <c r="H4">
        <f>B22</f>
        <v>1186</v>
      </c>
      <c r="I4" s="12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3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4">
        <f t="shared" si="1"/>
        <v>8.0540208717004333E-2</v>
      </c>
      <c r="G5">
        <v>95</v>
      </c>
      <c r="H5">
        <f>B18</f>
        <v>1475</v>
      </c>
      <c r="I5" s="12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3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4">
        <f t="shared" si="1"/>
        <v>0.11152511884877291</v>
      </c>
      <c r="G6">
        <v>155</v>
      </c>
      <c r="H6">
        <f>B12</f>
        <v>1669</v>
      </c>
      <c r="I6" s="12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3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4">
        <f t="shared" si="1"/>
        <v>5.1206036922247601E-2</v>
      </c>
      <c r="G7">
        <v>255</v>
      </c>
      <c r="H7">
        <f>B2</f>
        <v>1850</v>
      </c>
      <c r="I7" s="12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3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4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3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4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3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4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3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4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3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4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3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4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3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4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3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4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3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4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3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4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3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4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3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4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3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4">
        <f t="shared" si="1"/>
        <v>6.5513264129181153E-2</v>
      </c>
    </row>
    <row r="21" spans="1:15" x14ac:dyDescent="0.3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4">
        <f t="shared" si="1"/>
        <v>7.3995208943305746E-2</v>
      </c>
    </row>
    <row r="22" spans="1:15" x14ac:dyDescent="0.3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4">
        <f t="shared" si="1"/>
        <v>0</v>
      </c>
    </row>
    <row r="23" spans="1:15" x14ac:dyDescent="0.3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4">
        <f t="shared" si="1"/>
        <v>6.9499778663125275E-2</v>
      </c>
    </row>
    <row r="24" spans="1:15" x14ac:dyDescent="0.3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4">
        <f t="shared" si="1"/>
        <v>0.10358565737051789</v>
      </c>
    </row>
    <row r="25" spans="1:15" x14ac:dyDescent="0.3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4">
        <f t="shared" si="1"/>
        <v>0</v>
      </c>
    </row>
    <row r="26" spans="1:15" x14ac:dyDescent="0.3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4">
        <f t="shared" si="1"/>
        <v>-6.011904761904769E-2</v>
      </c>
    </row>
    <row r="27" spans="1:15" x14ac:dyDescent="0.3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4">
        <f>(D27-A27)/A27</f>
        <v>0</v>
      </c>
      <c r="M27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Kinematix</vt:lpstr>
      <vt:lpstr>Torque</vt:lpstr>
      <vt:lpstr>Kinematix!Druckbereich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2017-03-04T17:20:22Z</dcterms:modified>
</cp:coreProperties>
</file>