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arney_p_caton_usda_gov/Documents/Documents/Barnwork/Ongoing/Exclusion/Delimitation survey guide/Transect or Observation-based approaches/Analyses/Case studies/GWSS/"/>
    </mc:Choice>
  </mc:AlternateContent>
  <xr:revisionPtr revIDLastSave="33" documentId="8_{716B3890-B7D9-4F22-B60A-A6E26BE39494}" xr6:coauthVersionLast="47" xr6:coauthVersionMax="47" xr10:uidLastSave="{D031C925-E3B8-41EA-B281-3A3CAA0C392A}"/>
  <bookViews>
    <workbookView xWindow="-120" yWindow="-120" windowWidth="29040" windowHeight="15840" xr2:uid="{A4C0DFB5-0549-4594-887D-A2BDAC3294AD}"/>
  </bookViews>
  <sheets>
    <sheet name="Survey model v1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"NEFGQLACLXKRVTTESN527Z4F"</definedName>
    <definedName name="PalisadeReportWorkbookCreatedBy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101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"$B$29"</definedName>
    <definedName name="RiskSelectedNameCell1" hidden="1">"$A$29"</definedName>
    <definedName name="RiskSelectedNameCell2" hidden="1">"$B$9"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B51" i="1"/>
  <c r="E51" i="1" s="1"/>
  <c r="B44" i="1"/>
  <c r="B37" i="1"/>
  <c r="B40" i="1" s="1"/>
  <c r="B33" i="1"/>
  <c r="B16" i="1"/>
  <c r="D13" i="1"/>
  <c r="C13" i="1"/>
  <c r="B13" i="1"/>
  <c r="B24" i="1" s="1"/>
  <c r="B25" i="1" s="1"/>
  <c r="C12" i="1"/>
  <c r="B10" i="1"/>
  <c r="C10" i="1" s="1"/>
  <c r="F7" i="1"/>
  <c r="E7" i="1"/>
  <c r="B7" i="1"/>
  <c r="B14" i="1" l="1"/>
  <c r="B41" i="1"/>
  <c r="D41" i="1" s="1"/>
  <c r="B45" i="1"/>
  <c r="D10" i="1"/>
  <c r="D14" i="1" s="1"/>
  <c r="C14" i="1"/>
  <c r="C11" i="1"/>
  <c r="B23" i="1"/>
  <c r="B27" i="1" s="1"/>
  <c r="D11" i="1"/>
  <c r="B11" i="1"/>
  <c r="D45" i="1" l="1"/>
  <c r="B47" i="1"/>
  <c r="B48" i="1" l="1"/>
  <c r="B54" i="1" l="1"/>
  <c r="C50" i="1"/>
  <c r="B50" i="1"/>
  <c r="D50" i="1" l="1"/>
</calcChain>
</file>

<file path=xl/sharedStrings.xml><?xml version="1.0" encoding="utf-8"?>
<sst xmlns="http://schemas.openxmlformats.org/spreadsheetml/2006/main" count="69" uniqueCount="53">
  <si>
    <t>GWSS Case study</t>
  </si>
  <si>
    <t>Common parameters</t>
  </si>
  <si>
    <t>Survey area radius</t>
  </si>
  <si>
    <t>km</t>
  </si>
  <si>
    <t>Lower</t>
  </si>
  <si>
    <t>Upper</t>
  </si>
  <si>
    <t>Mean</t>
  </si>
  <si>
    <t>Host plant density</t>
  </si>
  <si>
    <t>no/km2</t>
  </si>
  <si>
    <t>0-0.4</t>
  </si>
  <si>
    <t>0.4-0.8</t>
  </si>
  <si>
    <t>0.8-1.2</t>
  </si>
  <si>
    <t>Survey area, total (m2)</t>
  </si>
  <si>
    <t>Total host plants in area</t>
  </si>
  <si>
    <t>infestation rate (no/plant)</t>
  </si>
  <si>
    <t>no/plant</t>
  </si>
  <si>
    <t>Infested host plants</t>
  </si>
  <si>
    <t>Infested host density (no/km2)</t>
  </si>
  <si>
    <t>Inspection time per plant</t>
  </si>
  <si>
    <t>h</t>
  </si>
  <si>
    <t>Population radius</t>
  </si>
  <si>
    <t>Original plan</t>
  </si>
  <si>
    <t>Estimated survey area</t>
  </si>
  <si>
    <t>km2</t>
  </si>
  <si>
    <t>Original/ n</t>
  </si>
  <si>
    <t>Original/ detected plants</t>
  </si>
  <si>
    <t>Infested tree density</t>
  </si>
  <si>
    <t>Original/ inspection time, total</t>
  </si>
  <si>
    <t>Transect radius</t>
  </si>
  <si>
    <t>Transect no., base</t>
  </si>
  <si>
    <t>no</t>
  </si>
  <si>
    <t>Transect length, total</t>
  </si>
  <si>
    <t>Target infestation rate</t>
  </si>
  <si>
    <t>Infestation density</t>
  </si>
  <si>
    <t>target n</t>
  </si>
  <si>
    <t>Acrit</t>
  </si>
  <si>
    <t>W0</t>
  </si>
  <si>
    <t>m</t>
  </si>
  <si>
    <t>Transect no, alternate</t>
  </si>
  <si>
    <t>Total transect length</t>
  </si>
  <si>
    <t>Transect width, alternate</t>
  </si>
  <si>
    <t>Transect area, total</t>
  </si>
  <si>
    <t>Transect trees, total</t>
  </si>
  <si>
    <t>Transect hosts per segment</t>
  </si>
  <si>
    <t>TDDS/ Infested plants, by segment</t>
  </si>
  <si>
    <t>TDDS/ inspection time, total</t>
  </si>
  <si>
    <t>DTDS Plan</t>
  </si>
  <si>
    <t>Legend</t>
  </si>
  <si>
    <t>Calculated value</t>
  </si>
  <si>
    <t>Probabilistic term</t>
  </si>
  <si>
    <t>Lookup value</t>
  </si>
  <si>
    <t>Output value</t>
  </si>
  <si>
    <t>Point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</si>
</sst>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0.0000"/>
    <numFmt numFmtId="166" formatCode="0.0"/>
    <numFmt numFmtId="167" formatCode="_(* #,##0_);_(* \(#,##0\);_(* &quot;-&quot;??_);_(@_)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3" fontId="0" fillId="3" borderId="0" xfId="0" applyNumberFormat="1" applyFill="1"/>
    <xf numFmtId="3" fontId="0" fillId="2" borderId="0" xfId="0" applyNumberFormat="1" applyFill="1"/>
    <xf numFmtId="3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5" fontId="0" fillId="2" borderId="0" xfId="0" applyNumberFormat="1" applyFill="1"/>
    <xf numFmtId="3" fontId="0" fillId="5" borderId="0" xfId="0" applyNumberFormat="1" applyFill="1"/>
    <xf numFmtId="0" fontId="0" fillId="5" borderId="0" xfId="0" applyFill="1"/>
    <xf numFmtId="167" fontId="0" fillId="2" borderId="0" xfId="1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0" fillId="5" borderId="0" xfId="0" applyNumberFormat="1" applyFill="1"/>
    <xf numFmtId="3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65" fontId="0" fillId="8" borderId="0" xfId="0" applyNumberFormat="1" applyFill="1"/>
    <xf numFmtId="166" fontId="0" fillId="8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A3D3-E1D6-4F11-8C99-4CD2588B726C}">
  <dimension ref="A1:K54"/>
  <sheetViews>
    <sheetView tabSelected="1" zoomScaleNormal="100" workbookViewId="0">
      <selection activeCell="H14" sqref="H14"/>
    </sheetView>
  </sheetViews>
  <sheetFormatPr defaultRowHeight="12.75" x14ac:dyDescent="0.2"/>
  <cols>
    <col min="1" max="1" width="30.5703125" bestFit="1" customWidth="1"/>
    <col min="2" max="5" width="8.42578125" bestFit="1" customWidth="1"/>
    <col min="6" max="8" width="6.5703125" bestFit="1" customWidth="1"/>
    <col min="9" max="9" width="15.5703125" style="2" bestFit="1" customWidth="1"/>
    <col min="10" max="10" width="11.5703125" style="2" bestFit="1" customWidth="1"/>
    <col min="11" max="11" width="9.140625" style="2"/>
  </cols>
  <sheetData>
    <row r="1" spans="1:9" x14ac:dyDescent="0.2">
      <c r="A1" s="1" t="s">
        <v>0</v>
      </c>
      <c r="I1" s="1" t="s">
        <v>47</v>
      </c>
    </row>
    <row r="2" spans="1:9" x14ac:dyDescent="0.2">
      <c r="I2" s="15" t="s">
        <v>52</v>
      </c>
    </row>
    <row r="3" spans="1:9" x14ac:dyDescent="0.2">
      <c r="A3" s="1" t="s">
        <v>1</v>
      </c>
      <c r="I3" s="16" t="s">
        <v>48</v>
      </c>
    </row>
    <row r="4" spans="1:9" x14ac:dyDescent="0.2">
      <c r="I4" s="4" t="s">
        <v>49</v>
      </c>
    </row>
    <row r="5" spans="1:9" x14ac:dyDescent="0.2">
      <c r="A5" t="s">
        <v>2</v>
      </c>
      <c r="B5" s="3">
        <v>0.4</v>
      </c>
      <c r="C5" t="s">
        <v>3</v>
      </c>
      <c r="I5" s="17" t="s">
        <v>50</v>
      </c>
    </row>
    <row r="6" spans="1:9" x14ac:dyDescent="0.2">
      <c r="E6" t="s">
        <v>4</v>
      </c>
      <c r="F6" t="s">
        <v>5</v>
      </c>
      <c r="G6" t="s">
        <v>6</v>
      </c>
      <c r="I6" s="18" t="s">
        <v>51</v>
      </c>
    </row>
    <row r="7" spans="1:9" x14ac:dyDescent="0.2">
      <c r="A7" t="s">
        <v>7</v>
      </c>
      <c r="B7" s="4" t="e">
        <f ca="1">_xll.RiskUniform(E7,F7)</f>
        <v>#NAME?</v>
      </c>
      <c r="C7" t="s">
        <v>8</v>
      </c>
      <c r="E7" s="19">
        <f>G7-0.1*G7</f>
        <v>22500</v>
      </c>
      <c r="F7" s="19">
        <f>G7+0.1*G7</f>
        <v>27500</v>
      </c>
      <c r="G7" s="5">
        <v>25000</v>
      </c>
    </row>
    <row r="8" spans="1:9" x14ac:dyDescent="0.2">
      <c r="B8" s="6"/>
    </row>
    <row r="9" spans="1:9" x14ac:dyDescent="0.2">
      <c r="B9" t="s">
        <v>9</v>
      </c>
      <c r="C9" t="s">
        <v>10</v>
      </c>
      <c r="D9" t="s">
        <v>11</v>
      </c>
    </row>
    <row r="10" spans="1:9" x14ac:dyDescent="0.2">
      <c r="A10" t="s">
        <v>12</v>
      </c>
      <c r="B10" s="20">
        <f>B5*B5*PI()</f>
        <v>0.50265482457436694</v>
      </c>
      <c r="C10" s="20">
        <f>G10^2*PI()-B10</f>
        <v>-0.50265482457436694</v>
      </c>
      <c r="D10" s="20">
        <f>H10^2*PI()-C10-B10</f>
        <v>0</v>
      </c>
    </row>
    <row r="11" spans="1:9" x14ac:dyDescent="0.2">
      <c r="A11" t="s">
        <v>13</v>
      </c>
      <c r="B11" s="19" t="e">
        <f ca="1">ROUND($B$7*B10,0)</f>
        <v>#NAME?</v>
      </c>
      <c r="C11" s="19" t="e">
        <f t="shared" ref="C11:D11" ca="1" si="0">ROUND($B$7*C10,0)</f>
        <v>#NAME?</v>
      </c>
      <c r="D11" s="19" t="e">
        <f t="shared" ca="1" si="0"/>
        <v>#NAME?</v>
      </c>
    </row>
    <row r="12" spans="1:9" x14ac:dyDescent="0.2">
      <c r="A12" t="s">
        <v>14</v>
      </c>
      <c r="B12" s="3">
        <v>0.02</v>
      </c>
      <c r="C12" s="3">
        <f>B12/2</f>
        <v>0.01</v>
      </c>
      <c r="D12" s="3">
        <v>0</v>
      </c>
    </row>
    <row r="13" spans="1:9" x14ac:dyDescent="0.2">
      <c r="A13" t="s">
        <v>16</v>
      </c>
      <c r="B13" s="7" t="e">
        <f ca="1">_xll.RiskBinomial(B11,B12)</f>
        <v>#NAME?</v>
      </c>
      <c r="C13" s="7" t="e">
        <f ca="1">_xll.RiskBinomial(C11,C12)</f>
        <v>#NAME?</v>
      </c>
      <c r="D13" s="7" t="e">
        <f ca="1">_xll.RiskBinomial(D11,D12)</f>
        <v>#NAME?</v>
      </c>
      <c r="E13" s="8"/>
    </row>
    <row r="14" spans="1:9" x14ac:dyDescent="0.2">
      <c r="A14" t="s">
        <v>17</v>
      </c>
      <c r="B14" s="20" t="e">
        <f ca="1">B13/B10</f>
        <v>#NAME?</v>
      </c>
      <c r="C14" s="20" t="e">
        <f t="shared" ref="C14:D14" ca="1" si="1">C13/C10</f>
        <v>#NAME?</v>
      </c>
      <c r="D14" s="20" t="e">
        <f t="shared" ca="1" si="1"/>
        <v>#NAME?</v>
      </c>
      <c r="E14" s="2"/>
    </row>
    <row r="16" spans="1:9" x14ac:dyDescent="0.2">
      <c r="A16" t="s">
        <v>18</v>
      </c>
      <c r="B16" s="9">
        <f>3/60</f>
        <v>0.05</v>
      </c>
      <c r="C16" t="s">
        <v>19</v>
      </c>
    </row>
    <row r="18" spans="1:4" x14ac:dyDescent="0.2">
      <c r="A18" t="s">
        <v>20</v>
      </c>
      <c r="B18" s="3">
        <v>1.6</v>
      </c>
      <c r="C18" t="s">
        <v>3</v>
      </c>
    </row>
    <row r="20" spans="1:4" x14ac:dyDescent="0.2">
      <c r="A20" s="1" t="s">
        <v>21</v>
      </c>
    </row>
    <row r="21" spans="1:4" x14ac:dyDescent="0.2">
      <c r="A21" s="1"/>
    </row>
    <row r="22" spans="1:4" x14ac:dyDescent="0.2">
      <c r="A22" t="s">
        <v>22</v>
      </c>
      <c r="B22" s="10">
        <v>2.6</v>
      </c>
      <c r="C22" t="s">
        <v>23</v>
      </c>
    </row>
    <row r="23" spans="1:4" x14ac:dyDescent="0.2">
      <c r="A23" t="s">
        <v>24</v>
      </c>
      <c r="B23" s="19" t="e">
        <f ca="1">B22*B7</f>
        <v>#NAME?</v>
      </c>
      <c r="D23" s="6"/>
    </row>
    <row r="24" spans="1:4" x14ac:dyDescent="0.2">
      <c r="A24" t="s">
        <v>25</v>
      </c>
      <c r="B24" s="11" t="e">
        <f ca="1">_xll.RiskOutput()+E13</f>
        <v>#NAME?</v>
      </c>
    </row>
    <row r="25" spans="1:4" x14ac:dyDescent="0.2">
      <c r="A25" t="s">
        <v>26</v>
      </c>
      <c r="B25" s="20" t="e">
        <f ca="1">B24/B22</f>
        <v>#NAME?</v>
      </c>
      <c r="C25" t="s">
        <v>8</v>
      </c>
    </row>
    <row r="26" spans="1:4" x14ac:dyDescent="0.2">
      <c r="B26" s="8"/>
    </row>
    <row r="27" spans="1:4" x14ac:dyDescent="0.2">
      <c r="A27" t="s">
        <v>27</v>
      </c>
      <c r="B27" s="21" t="e">
        <f ca="1">_xll.RiskOutput()+B16*B23</f>
        <v>#NAME?</v>
      </c>
      <c r="C27" t="s">
        <v>19</v>
      </c>
    </row>
    <row r="29" spans="1:4" x14ac:dyDescent="0.2">
      <c r="A29" s="1" t="s">
        <v>46</v>
      </c>
    </row>
    <row r="30" spans="1:4" x14ac:dyDescent="0.2">
      <c r="A30" s="1"/>
    </row>
    <row r="31" spans="1:4" x14ac:dyDescent="0.2">
      <c r="A31" t="s">
        <v>28</v>
      </c>
      <c r="B31" s="3">
        <v>1.2</v>
      </c>
      <c r="C31" t="s">
        <v>3</v>
      </c>
    </row>
    <row r="32" spans="1:4" x14ac:dyDescent="0.2">
      <c r="A32" t="s">
        <v>29</v>
      </c>
      <c r="B32" s="3">
        <v>2</v>
      </c>
      <c r="C32" t="s">
        <v>30</v>
      </c>
    </row>
    <row r="33" spans="1:5" x14ac:dyDescent="0.2">
      <c r="A33" t="s">
        <v>31</v>
      </c>
      <c r="B33" s="22">
        <f>(2*B31)*B32</f>
        <v>4.8</v>
      </c>
      <c r="C33" t="s">
        <v>3</v>
      </c>
    </row>
    <row r="35" spans="1:5" x14ac:dyDescent="0.2">
      <c r="A35" s="1"/>
    </row>
    <row r="36" spans="1:5" x14ac:dyDescent="0.2">
      <c r="A36" t="s">
        <v>32</v>
      </c>
      <c r="B36" s="3">
        <v>0.01</v>
      </c>
      <c r="C36" t="s">
        <v>15</v>
      </c>
    </row>
    <row r="37" spans="1:5" x14ac:dyDescent="0.2">
      <c r="A37" t="s">
        <v>33</v>
      </c>
      <c r="B37" s="20">
        <f>B36*G7</f>
        <v>250</v>
      </c>
      <c r="C37" t="s">
        <v>8</v>
      </c>
    </row>
    <row r="39" spans="1:5" x14ac:dyDescent="0.2">
      <c r="A39" t="s">
        <v>34</v>
      </c>
      <c r="B39" s="3">
        <v>60</v>
      </c>
    </row>
    <row r="40" spans="1:5" x14ac:dyDescent="0.2">
      <c r="A40" t="s">
        <v>35</v>
      </c>
      <c r="B40" s="23">
        <f>B39/B37</f>
        <v>0.24</v>
      </c>
      <c r="C40" t="s">
        <v>23</v>
      </c>
    </row>
    <row r="41" spans="1:5" x14ac:dyDescent="0.2">
      <c r="A41" t="s">
        <v>36</v>
      </c>
      <c r="B41" s="23">
        <f>B40/B33</f>
        <v>0.05</v>
      </c>
      <c r="C41" t="s">
        <v>3</v>
      </c>
      <c r="D41" s="24">
        <f>B41*1000</f>
        <v>50</v>
      </c>
      <c r="E41" t="s">
        <v>37</v>
      </c>
    </row>
    <row r="43" spans="1:5" x14ac:dyDescent="0.2">
      <c r="A43" t="s">
        <v>38</v>
      </c>
      <c r="B43" s="3">
        <v>11</v>
      </c>
      <c r="C43" t="s">
        <v>30</v>
      </c>
    </row>
    <row r="44" spans="1:5" x14ac:dyDescent="0.2">
      <c r="A44" t="s">
        <v>39</v>
      </c>
      <c r="B44" s="22">
        <f>B43*(B31*2)</f>
        <v>26.4</v>
      </c>
      <c r="C44" t="s">
        <v>3</v>
      </c>
    </row>
    <row r="45" spans="1:5" x14ac:dyDescent="0.2">
      <c r="A45" t="s">
        <v>40</v>
      </c>
      <c r="B45" s="12">
        <f>B40/B44</f>
        <v>9.0909090909090905E-3</v>
      </c>
      <c r="C45" t="s">
        <v>3</v>
      </c>
      <c r="D45" s="24">
        <f>B45*1000</f>
        <v>9.0909090909090899</v>
      </c>
      <c r="E45" t="s">
        <v>37</v>
      </c>
    </row>
    <row r="47" spans="1:5" x14ac:dyDescent="0.2">
      <c r="A47" t="s">
        <v>41</v>
      </c>
      <c r="B47" s="23">
        <f>B45*B43*(B31*2)</f>
        <v>0.23999999999999996</v>
      </c>
      <c r="C47" t="s">
        <v>23</v>
      </c>
    </row>
    <row r="48" spans="1:5" x14ac:dyDescent="0.2">
      <c r="A48" t="s">
        <v>42</v>
      </c>
      <c r="B48" s="19" t="e">
        <f ca="1">ROUND(B47*B7,0)</f>
        <v>#NAME?</v>
      </c>
    </row>
    <row r="49" spans="1:5" x14ac:dyDescent="0.2">
      <c r="B49" t="s">
        <v>9</v>
      </c>
      <c r="C49" t="s">
        <v>10</v>
      </c>
      <c r="D49" t="s">
        <v>11</v>
      </c>
    </row>
    <row r="50" spans="1:5" x14ac:dyDescent="0.2">
      <c r="A50" t="s">
        <v>43</v>
      </c>
      <c r="B50" s="22" t="e">
        <f ca="1">ROUND(0.333*B48,0)</f>
        <v>#NAME?</v>
      </c>
      <c r="C50" s="22" t="e">
        <f ca="1">ROUND(0.333*B48,0)</f>
        <v>#NAME?</v>
      </c>
      <c r="D50" s="19" t="e">
        <f ca="1">B48-B50-C50</f>
        <v>#NAME?</v>
      </c>
    </row>
    <row r="51" spans="1:5" x14ac:dyDescent="0.2">
      <c r="A51" t="s">
        <v>44</v>
      </c>
      <c r="B51" s="13" t="e">
        <f ca="1">_xll.RiskOutput()+_xll.RiskBinomial(B50,B12)</f>
        <v>#NAME?</v>
      </c>
      <c r="C51" s="13" t="e">
        <f ca="1">_xll.RiskOutput()+_xll.RiskBinomial(C50,C12)</f>
        <v>#NAME?</v>
      </c>
      <c r="D51" s="13" t="e">
        <f ca="1">_xll.RiskOutput()+_xll.RiskBinomial(D50,D12)</f>
        <v>#NAME?</v>
      </c>
      <c r="E51" s="13" t="e">
        <f ca="1">_xll.RiskOutput()+SUM(B51:D51)</f>
        <v>#NAME?</v>
      </c>
    </row>
    <row r="54" spans="1:5" x14ac:dyDescent="0.2">
      <c r="A54" t="s">
        <v>45</v>
      </c>
      <c r="B54" s="14" t="e">
        <f ca="1">_xll.RiskOutput()+B48*B16</f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model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P Caton</dc:creator>
  <cp:lastModifiedBy>Barney P Caton</cp:lastModifiedBy>
  <dcterms:created xsi:type="dcterms:W3CDTF">2023-01-10T19:01:14Z</dcterms:created>
  <dcterms:modified xsi:type="dcterms:W3CDTF">2023-01-11T11:59:26Z</dcterms:modified>
</cp:coreProperties>
</file>