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barney_p_caton_usda_gov/Documents/Documents/Barnwork/Ongoing/Exclusion/Delimitation survey guide/Transect or Observation-based approaches/Analyses/Case studies/Phyllosticta/"/>
    </mc:Choice>
  </mc:AlternateContent>
  <xr:revisionPtr revIDLastSave="203" documentId="8_{0874E9D9-383C-4BF2-8712-B0BD6D50C8FC}" xr6:coauthVersionLast="47" xr6:coauthVersionMax="47" xr10:uidLastSave="{1360B2D6-AB3D-46F8-98BD-438C48775D68}"/>
  <bookViews>
    <workbookView xWindow="-23148" yWindow="-108" windowWidth="23256" windowHeight="12576" activeTab="1" xr2:uid="{079E9741-F7DF-4E98-A32C-ABB9A6D68FC6}"/>
  </bookViews>
  <sheets>
    <sheet name="Scenario1 Model v1" sheetId="1" r:id="rId1"/>
    <sheet name="Scenario2 Model v2" sheetId="2" r:id="rId2"/>
    <sheet name="DTDS Spatial Model Scen1" sheetId="4" r:id="rId3"/>
    <sheet name="DTDS Spatial Model Scen2" sheetId="3" r:id="rId4"/>
  </sheets>
  <definedNames>
    <definedName name="_AtRisk_SimSetting_AutomaticallyGenerateReports" hidden="1">FALSE</definedName>
    <definedName name="_AtRisk_SimSetting_AutomaticResultsDisplayMode" localSheetId="2" hidden="1">2</definedName>
    <definedName name="_AtRisk_SimSetting_AutomaticResultsDisplayMode" localSheetId="3" hidden="1">2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"NEFGQLACLXKRVTTESN527Z4F"</definedName>
    <definedName name="PalisadeReportWorkbookCreatedBy">"AtRisk"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1</definedName>
    <definedName name="RiskFixedSeed" hidden="1">101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localSheetId="2" hidden="1">100000</definedName>
    <definedName name="RiskNumIterations" localSheetId="3" hidden="1">100000</definedName>
    <definedName name="RiskNumIterations" hidden="1">50000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localSheetId="1" hidden="1">"$B$46"</definedName>
    <definedName name="RiskSelectedCell" hidden="1">"$B$56"</definedName>
    <definedName name="RiskSelectedNameCell1" localSheetId="1" hidden="1">"$A$46"</definedName>
    <definedName name="RiskSelectedNameCell1" hidden="1">"$A$56"</definedName>
    <definedName name="RiskSelectedNameCell2" localSheetId="1" hidden="1">"$B$23"</definedName>
    <definedName name="RiskSelectedNameCell2" hidden="1">"$B$9"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7" i="4" l="1"/>
  <c r="G57" i="4"/>
  <c r="E57" i="4" s="1"/>
  <c r="H56" i="4"/>
  <c r="G56" i="4"/>
  <c r="H55" i="4"/>
  <c r="E55" i="4" s="1"/>
  <c r="G55" i="4"/>
  <c r="H54" i="4"/>
  <c r="G54" i="4"/>
  <c r="H53" i="4"/>
  <c r="G53" i="4"/>
  <c r="F53" i="4" s="1"/>
  <c r="H52" i="4"/>
  <c r="G52" i="4"/>
  <c r="E52" i="4" s="1"/>
  <c r="H51" i="4"/>
  <c r="F51" i="4" s="1"/>
  <c r="G51" i="4"/>
  <c r="H50" i="4"/>
  <c r="G50" i="4"/>
  <c r="H49" i="4"/>
  <c r="E49" i="4" s="1"/>
  <c r="I49" i="4" s="1"/>
  <c r="G49" i="4"/>
  <c r="H48" i="4"/>
  <c r="G48" i="4"/>
  <c r="H47" i="4"/>
  <c r="E47" i="4" s="1"/>
  <c r="G47" i="4"/>
  <c r="H46" i="4"/>
  <c r="G46" i="4"/>
  <c r="H45" i="4"/>
  <c r="G45" i="4"/>
  <c r="H44" i="4"/>
  <c r="G44" i="4"/>
  <c r="E44" i="4" s="1"/>
  <c r="H43" i="4"/>
  <c r="F43" i="4" s="1"/>
  <c r="G43" i="4"/>
  <c r="H42" i="4"/>
  <c r="F42" i="4" s="1"/>
  <c r="G42" i="4"/>
  <c r="H41" i="4"/>
  <c r="G41" i="4"/>
  <c r="H40" i="4"/>
  <c r="G40" i="4"/>
  <c r="F40" i="4" s="1"/>
  <c r="H39" i="4"/>
  <c r="E39" i="4" s="1"/>
  <c r="G39" i="4"/>
  <c r="H38" i="4"/>
  <c r="G38" i="4"/>
  <c r="H37" i="4"/>
  <c r="G37" i="4"/>
  <c r="H36" i="4"/>
  <c r="G36" i="4"/>
  <c r="E36" i="4" s="1"/>
  <c r="H35" i="4"/>
  <c r="F35" i="4" s="1"/>
  <c r="G35" i="4"/>
  <c r="E35" i="4" s="1"/>
  <c r="H34" i="4"/>
  <c r="G34" i="4"/>
  <c r="H33" i="4"/>
  <c r="G33" i="4"/>
  <c r="H32" i="4"/>
  <c r="G32" i="4"/>
  <c r="F32" i="4" s="1"/>
  <c r="H31" i="4"/>
  <c r="G31" i="4"/>
  <c r="E31" i="4" s="1"/>
  <c r="H30" i="4"/>
  <c r="G30" i="4"/>
  <c r="H29" i="4"/>
  <c r="G29" i="4"/>
  <c r="H28" i="4"/>
  <c r="G28" i="4"/>
  <c r="F28" i="4" s="1"/>
  <c r="H27" i="4"/>
  <c r="E27" i="4" s="1"/>
  <c r="I27" i="4" s="1"/>
  <c r="G27" i="4"/>
  <c r="F27" i="4" s="1"/>
  <c r="H26" i="4"/>
  <c r="G26" i="4"/>
  <c r="H25" i="4"/>
  <c r="G25" i="4"/>
  <c r="E25" i="4" s="1"/>
  <c r="I25" i="4" s="1"/>
  <c r="H24" i="4"/>
  <c r="G24" i="4"/>
  <c r="E24" i="4" s="1"/>
  <c r="H23" i="4"/>
  <c r="E23" i="4" s="1"/>
  <c r="G23" i="4"/>
  <c r="F23" i="4" s="1"/>
  <c r="H22" i="4"/>
  <c r="G22" i="4"/>
  <c r="B22" i="4"/>
  <c r="V21" i="4"/>
  <c r="U21" i="4" s="1"/>
  <c r="T21" i="4" s="1"/>
  <c r="H21" i="4"/>
  <c r="G21" i="4"/>
  <c r="B21" i="4"/>
  <c r="V20" i="4"/>
  <c r="U20" i="4"/>
  <c r="H20" i="4"/>
  <c r="G20" i="4"/>
  <c r="B20" i="4"/>
  <c r="Y19" i="4"/>
  <c r="V19" i="4"/>
  <c r="H19" i="4"/>
  <c r="E19" i="4" s="1"/>
  <c r="I19" i="4" s="1"/>
  <c r="G19" i="4"/>
  <c r="F19" i="4" s="1"/>
  <c r="B19" i="4"/>
  <c r="V18" i="4"/>
  <c r="U18" i="4" s="1"/>
  <c r="T18" i="4" s="1"/>
  <c r="H18" i="4"/>
  <c r="G18" i="4"/>
  <c r="B18" i="4"/>
  <c r="V17" i="4"/>
  <c r="U17" i="4" s="1"/>
  <c r="T17" i="4" s="1"/>
  <c r="H17" i="4"/>
  <c r="E17" i="4" s="1"/>
  <c r="G17" i="4"/>
  <c r="B17" i="4"/>
  <c r="V16" i="4"/>
  <c r="H16" i="4"/>
  <c r="G16" i="4"/>
  <c r="B16" i="4"/>
  <c r="V15" i="4"/>
  <c r="U16" i="4"/>
  <c r="T16" i="4" s="1"/>
  <c r="U15" i="4"/>
  <c r="T15" i="4" s="1"/>
  <c r="H15" i="4"/>
  <c r="F15" i="4" s="1"/>
  <c r="G15" i="4"/>
  <c r="B15" i="4"/>
  <c r="V14" i="4"/>
  <c r="H14" i="4"/>
  <c r="G14" i="4"/>
  <c r="B14" i="4"/>
  <c r="V13" i="4"/>
  <c r="U14" i="4"/>
  <c r="T14" i="4" s="1"/>
  <c r="H13" i="4"/>
  <c r="G13" i="4"/>
  <c r="V12" i="4"/>
  <c r="U13" i="4"/>
  <c r="T13" i="4" s="1"/>
  <c r="H12" i="4"/>
  <c r="G12" i="4"/>
  <c r="V11" i="4"/>
  <c r="H11" i="4"/>
  <c r="F11" i="4" s="1"/>
  <c r="G11" i="4"/>
  <c r="V10" i="4"/>
  <c r="U10" i="4" s="1"/>
  <c r="T10" i="4" s="1"/>
  <c r="H10" i="4"/>
  <c r="G10" i="4"/>
  <c r="V9" i="4"/>
  <c r="H9" i="4"/>
  <c r="E9" i="4" s="1"/>
  <c r="G9" i="4"/>
  <c r="V8" i="4"/>
  <c r="H8" i="4"/>
  <c r="G8" i="4"/>
  <c r="E8" i="4" s="1"/>
  <c r="V7" i="4"/>
  <c r="U7" i="4" s="1"/>
  <c r="T7" i="4" s="1"/>
  <c r="H7" i="4"/>
  <c r="G7" i="4"/>
  <c r="V6" i="4"/>
  <c r="H6" i="4"/>
  <c r="F6" i="4" s="1"/>
  <c r="G6" i="4"/>
  <c r="V5" i="4"/>
  <c r="U5" i="4" s="1"/>
  <c r="T5" i="4" s="1"/>
  <c r="H5" i="4"/>
  <c r="G5" i="4"/>
  <c r="Y4" i="4"/>
  <c r="V4" i="4"/>
  <c r="U4" i="4" s="1"/>
  <c r="T4" i="4" s="1"/>
  <c r="H4" i="4"/>
  <c r="G4" i="4"/>
  <c r="E4" i="4" s="1"/>
  <c r="A4" i="4"/>
  <c r="AF4" i="4"/>
  <c r="AF5" i="4" s="1"/>
  <c r="AF6" i="4" s="1"/>
  <c r="AF7" i="4" s="1"/>
  <c r="AF8" i="4" s="1"/>
  <c r="AE3" i="4"/>
  <c r="AI3" i="4"/>
  <c r="Y3" i="4"/>
  <c r="V3" i="4"/>
  <c r="U3" i="4"/>
  <c r="T3" i="4" s="1"/>
  <c r="H3" i="4"/>
  <c r="E3" i="4" s="1"/>
  <c r="G3" i="4"/>
  <c r="AI2" i="4"/>
  <c r="AH2" i="4" s="1"/>
  <c r="AF2" i="4"/>
  <c r="AF3" i="4" s="1"/>
  <c r="Y2" i="4"/>
  <c r="Y17" i="4" s="1"/>
  <c r="Y21" i="4"/>
  <c r="V2" i="4"/>
  <c r="U2" i="4"/>
  <c r="T2" i="4" s="1"/>
  <c r="S2" i="4"/>
  <c r="S3" i="4"/>
  <c r="S4" i="4" s="1"/>
  <c r="S5" i="4" s="1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H2" i="4"/>
  <c r="G2" i="4"/>
  <c r="F49" i="4"/>
  <c r="E15" i="4"/>
  <c r="F33" i="4"/>
  <c r="E37" i="4"/>
  <c r="F55" i="4"/>
  <c r="E50" i="4"/>
  <c r="E18" i="4"/>
  <c r="F38" i="4"/>
  <c r="F41" i="4"/>
  <c r="F22" i="4"/>
  <c r="F29" i="4"/>
  <c r="F37" i="4"/>
  <c r="F25" i="4"/>
  <c r="E41" i="4"/>
  <c r="F54" i="4"/>
  <c r="AE4" i="4"/>
  <c r="AI4" i="4" s="1"/>
  <c r="AH4" i="4" s="1"/>
  <c r="E33" i="4"/>
  <c r="I33" i="4" s="1"/>
  <c r="E38" i="4"/>
  <c r="I38" i="4" s="1"/>
  <c r="E46" i="4"/>
  <c r="E20" i="4"/>
  <c r="Y9" i="4"/>
  <c r="AA6" i="4" s="1" a="1"/>
  <c r="AA6" i="4" s="1"/>
  <c r="E40" i="4"/>
  <c r="I40" i="4" s="1"/>
  <c r="AE5" i="4"/>
  <c r="AI5" i="4" s="1"/>
  <c r="AE6" i="4"/>
  <c r="AE7" i="4" s="1"/>
  <c r="H57" i="3"/>
  <c r="F57" i="3" s="1"/>
  <c r="G57" i="3"/>
  <c r="H56" i="3"/>
  <c r="G56" i="3"/>
  <c r="E56" i="3" s="1"/>
  <c r="H55" i="3"/>
  <c r="G55" i="3"/>
  <c r="H54" i="3"/>
  <c r="G54" i="3"/>
  <c r="H53" i="3"/>
  <c r="E53" i="3" s="1"/>
  <c r="G53" i="3"/>
  <c r="H52" i="3"/>
  <c r="G52" i="3"/>
  <c r="E52" i="3" s="1"/>
  <c r="H51" i="3"/>
  <c r="E51" i="3" s="1"/>
  <c r="G51" i="3"/>
  <c r="H50" i="3"/>
  <c r="G50" i="3"/>
  <c r="V49" i="3"/>
  <c r="U49" i="3" s="1"/>
  <c r="T49" i="3" s="1"/>
  <c r="H49" i="3"/>
  <c r="G49" i="3"/>
  <c r="V48" i="3"/>
  <c r="U48" i="3"/>
  <c r="T48" i="3" s="1"/>
  <c r="H48" i="3"/>
  <c r="G48" i="3"/>
  <c r="F48" i="3" s="1"/>
  <c r="V47" i="3"/>
  <c r="U47" i="3"/>
  <c r="T47" i="3" s="1"/>
  <c r="H47" i="3"/>
  <c r="G47" i="3"/>
  <c r="V46" i="3"/>
  <c r="H46" i="3"/>
  <c r="G46" i="3"/>
  <c r="F46" i="3" s="1"/>
  <c r="V45" i="3"/>
  <c r="U46" i="3" s="1"/>
  <c r="T46" i="3" s="1"/>
  <c r="H45" i="3"/>
  <c r="E45" i="3" s="1"/>
  <c r="G45" i="3"/>
  <c r="V44" i="3"/>
  <c r="H44" i="3"/>
  <c r="G44" i="3"/>
  <c r="F44" i="3" s="1"/>
  <c r="V43" i="3"/>
  <c r="U43" i="3"/>
  <c r="T43" i="3" s="1"/>
  <c r="H43" i="3"/>
  <c r="F43" i="3" s="1"/>
  <c r="G43" i="3"/>
  <c r="V42" i="3"/>
  <c r="H42" i="3"/>
  <c r="G42" i="3"/>
  <c r="V41" i="3"/>
  <c r="U42" i="3"/>
  <c r="T42" i="3" s="1"/>
  <c r="H41" i="3"/>
  <c r="G41" i="3"/>
  <c r="F41" i="3" s="1"/>
  <c r="V40" i="3"/>
  <c r="H40" i="3"/>
  <c r="G40" i="3"/>
  <c r="V39" i="3"/>
  <c r="U39" i="3" s="1"/>
  <c r="T39" i="3"/>
  <c r="H39" i="3"/>
  <c r="E39" i="3" s="1"/>
  <c r="I39" i="3" s="1"/>
  <c r="G39" i="3"/>
  <c r="V38" i="3"/>
  <c r="U38" i="3"/>
  <c r="T38" i="3" s="1"/>
  <c r="H38" i="3"/>
  <c r="G38" i="3"/>
  <c r="V37" i="3"/>
  <c r="U37" i="3" s="1"/>
  <c r="T37" i="3" s="1"/>
  <c r="H37" i="3"/>
  <c r="F37" i="3" s="1"/>
  <c r="G37" i="3"/>
  <c r="V36" i="3"/>
  <c r="U36" i="3"/>
  <c r="T36" i="3" s="1"/>
  <c r="H36" i="3"/>
  <c r="G36" i="3"/>
  <c r="V35" i="3"/>
  <c r="U35" i="3"/>
  <c r="T35" i="3"/>
  <c r="H35" i="3"/>
  <c r="G35" i="3"/>
  <c r="F35" i="3" s="1"/>
  <c r="V34" i="3"/>
  <c r="U34" i="3"/>
  <c r="T34" i="3"/>
  <c r="H34" i="3"/>
  <c r="G34" i="3"/>
  <c r="V33" i="3"/>
  <c r="U33" i="3"/>
  <c r="T33" i="3" s="1"/>
  <c r="H33" i="3"/>
  <c r="G33" i="3"/>
  <c r="E33" i="3" s="1"/>
  <c r="V32" i="3"/>
  <c r="U32" i="3" s="1"/>
  <c r="T32" i="3" s="1"/>
  <c r="H32" i="3"/>
  <c r="F32" i="3" s="1"/>
  <c r="G32" i="3"/>
  <c r="V31" i="3"/>
  <c r="U31" i="3" s="1"/>
  <c r="T31" i="3"/>
  <c r="H31" i="3"/>
  <c r="G31" i="3"/>
  <c r="V30" i="3"/>
  <c r="H30" i="3"/>
  <c r="E30" i="3" s="1"/>
  <c r="G30" i="3"/>
  <c r="V29" i="3"/>
  <c r="U29" i="3" s="1"/>
  <c r="T29" i="3" s="1"/>
  <c r="H29" i="3"/>
  <c r="G29" i="3"/>
  <c r="V28" i="3"/>
  <c r="H28" i="3"/>
  <c r="G28" i="3"/>
  <c r="V27" i="3"/>
  <c r="U27" i="3" s="1"/>
  <c r="H27" i="3"/>
  <c r="F27" i="3" s="1"/>
  <c r="G27" i="3"/>
  <c r="V26" i="3"/>
  <c r="H26" i="3"/>
  <c r="G26" i="3"/>
  <c r="V25" i="3"/>
  <c r="U26" i="3" s="1"/>
  <c r="T26" i="3" s="1"/>
  <c r="H25" i="3"/>
  <c r="G25" i="3"/>
  <c r="V24" i="3"/>
  <c r="U24" i="3"/>
  <c r="T24" i="3" s="1"/>
  <c r="H24" i="3"/>
  <c r="G24" i="3"/>
  <c r="V23" i="3"/>
  <c r="H23" i="3"/>
  <c r="G23" i="3"/>
  <c r="V22" i="3"/>
  <c r="U23" i="3"/>
  <c r="T23" i="3" s="1"/>
  <c r="H22" i="3"/>
  <c r="G22" i="3"/>
  <c r="B22" i="3"/>
  <c r="V21" i="3"/>
  <c r="H21" i="3"/>
  <c r="E21" i="3" s="1"/>
  <c r="G21" i="3"/>
  <c r="B21" i="3"/>
  <c r="V20" i="3"/>
  <c r="U20" i="3" s="1"/>
  <c r="T20" i="3" s="1"/>
  <c r="H20" i="3"/>
  <c r="G20" i="3"/>
  <c r="B20" i="3"/>
  <c r="Y19" i="3"/>
  <c r="V19" i="3"/>
  <c r="U19" i="3"/>
  <c r="T19" i="3" s="1"/>
  <c r="H19" i="3"/>
  <c r="E19" i="3" s="1"/>
  <c r="G19" i="3"/>
  <c r="B19" i="3"/>
  <c r="V18" i="3"/>
  <c r="U18" i="3"/>
  <c r="T18" i="3" s="1"/>
  <c r="H18" i="3"/>
  <c r="G18" i="3"/>
  <c r="B18" i="3"/>
  <c r="V17" i="3"/>
  <c r="H17" i="3"/>
  <c r="G17" i="3"/>
  <c r="B17" i="3"/>
  <c r="V16" i="3"/>
  <c r="H16" i="3"/>
  <c r="G16" i="3"/>
  <c r="B16" i="3"/>
  <c r="V15" i="3"/>
  <c r="U15" i="3" s="1"/>
  <c r="T15" i="3" s="1"/>
  <c r="H15" i="3"/>
  <c r="E15" i="3" s="1"/>
  <c r="G15" i="3"/>
  <c r="B15" i="3"/>
  <c r="V14" i="3"/>
  <c r="U14" i="3"/>
  <c r="T14" i="3"/>
  <c r="H14" i="3"/>
  <c r="G14" i="3"/>
  <c r="B14" i="3"/>
  <c r="V13" i="3"/>
  <c r="H13" i="3"/>
  <c r="G13" i="3"/>
  <c r="F13" i="3" s="1"/>
  <c r="V12" i="3"/>
  <c r="U13" i="3"/>
  <c r="T13" i="3" s="1"/>
  <c r="U12" i="3"/>
  <c r="T12" i="3" s="1"/>
  <c r="H12" i="3"/>
  <c r="G12" i="3"/>
  <c r="V11" i="3"/>
  <c r="U11" i="3" s="1"/>
  <c r="T11" i="3" s="1"/>
  <c r="H11" i="3"/>
  <c r="G11" i="3"/>
  <c r="V10" i="3"/>
  <c r="H10" i="3"/>
  <c r="G10" i="3"/>
  <c r="E10" i="3" s="1"/>
  <c r="V9" i="3"/>
  <c r="U10" i="3" s="1"/>
  <c r="T10" i="3" s="1"/>
  <c r="H9" i="3"/>
  <c r="E9" i="3" s="1"/>
  <c r="G9" i="3"/>
  <c r="V8" i="3"/>
  <c r="H8" i="3"/>
  <c r="G8" i="3"/>
  <c r="V7" i="3"/>
  <c r="U8" i="3" s="1"/>
  <c r="T8" i="3" s="1"/>
  <c r="U7" i="3"/>
  <c r="T7" i="3" s="1"/>
  <c r="H7" i="3"/>
  <c r="G7" i="3"/>
  <c r="V6" i="3"/>
  <c r="H6" i="3"/>
  <c r="G6" i="3"/>
  <c r="V5" i="3"/>
  <c r="U5" i="3" s="1"/>
  <c r="T5" i="3" s="1"/>
  <c r="H5" i="3"/>
  <c r="G5" i="3"/>
  <c r="Y4" i="3"/>
  <c r="V4" i="3"/>
  <c r="U4" i="3"/>
  <c r="T4" i="3"/>
  <c r="H4" i="3"/>
  <c r="F4" i="3" s="1"/>
  <c r="G4" i="3"/>
  <c r="A4" i="3"/>
  <c r="AI3" i="3"/>
  <c r="AH3" i="3"/>
  <c r="AE3" i="3"/>
  <c r="AE4" i="3"/>
  <c r="Y3" i="3"/>
  <c r="V3" i="3"/>
  <c r="H3" i="3"/>
  <c r="G3" i="3"/>
  <c r="AI2" i="3"/>
  <c r="AH2" i="3"/>
  <c r="AF2" i="3"/>
  <c r="AF3" i="3"/>
  <c r="AF4" i="3"/>
  <c r="AF5" i="3" s="1"/>
  <c r="AF6" i="3" s="1"/>
  <c r="AF7" i="3" s="1"/>
  <c r="AF8" i="3"/>
  <c r="AF9" i="3" s="1"/>
  <c r="V2" i="3"/>
  <c r="U3" i="3" s="1"/>
  <c r="T3" i="3" s="1"/>
  <c r="S2" i="3"/>
  <c r="S3" i="3" s="1"/>
  <c r="S4" i="3" s="1"/>
  <c r="S5" i="3" s="1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H2" i="3"/>
  <c r="G2" i="3"/>
  <c r="F39" i="3"/>
  <c r="F56" i="3"/>
  <c r="F20" i="3"/>
  <c r="F38" i="3"/>
  <c r="F29" i="3"/>
  <c r="E42" i="3"/>
  <c r="E18" i="3"/>
  <c r="F26" i="3"/>
  <c r="F49" i="3"/>
  <c r="F34" i="3"/>
  <c r="E44" i="3"/>
  <c r="F51" i="3"/>
  <c r="E20" i="3"/>
  <c r="I20" i="3" s="1"/>
  <c r="E49" i="3"/>
  <c r="AE5" i="3"/>
  <c r="AI5" i="3" s="1"/>
  <c r="AI4" i="3"/>
  <c r="E13" i="3"/>
  <c r="F53" i="3"/>
  <c r="U22" i="3"/>
  <c r="T22" i="3" s="1"/>
  <c r="T27" i="3"/>
  <c r="U44" i="3"/>
  <c r="T44" i="3"/>
  <c r="Y2" i="3"/>
  <c r="E17" i="3"/>
  <c r="E34" i="3"/>
  <c r="E37" i="3"/>
  <c r="E29" i="3"/>
  <c r="E38" i="3"/>
  <c r="E47" i="3"/>
  <c r="U41" i="3"/>
  <c r="T41" i="3" s="1"/>
  <c r="AH5" i="3"/>
  <c r="AE6" i="3"/>
  <c r="AE7" i="3" s="1"/>
  <c r="Y17" i="3"/>
  <c r="Y21" i="3"/>
  <c r="Y9" i="3"/>
  <c r="Y10" i="3" s="1"/>
  <c r="AB6" i="3" a="1"/>
  <c r="AB6" i="3"/>
  <c r="D44" i="2"/>
  <c r="F44" i="2"/>
  <c r="B44" i="2" s="1"/>
  <c r="B45" i="2" s="1"/>
  <c r="B39" i="2"/>
  <c r="B32" i="2"/>
  <c r="B35" i="2"/>
  <c r="B40" i="2" s="1"/>
  <c r="B29" i="2"/>
  <c r="D11" i="2"/>
  <c r="E11" i="2"/>
  <c r="D13" i="2" s="1"/>
  <c r="B8" i="2"/>
  <c r="F5" i="2"/>
  <c r="E5" i="2"/>
  <c r="B5" i="2"/>
  <c r="B36" i="2"/>
  <c r="D36" i="2" s="1"/>
  <c r="F84" i="1"/>
  <c r="B84" i="1" s="1"/>
  <c r="B85" i="1" s="1"/>
  <c r="D84" i="1"/>
  <c r="B79" i="1"/>
  <c r="B72" i="1"/>
  <c r="B75" i="1"/>
  <c r="B76" i="1" s="1"/>
  <c r="D76" i="1" s="1"/>
  <c r="B69" i="1"/>
  <c r="B60" i="1"/>
  <c r="B58" i="1"/>
  <c r="B59" i="1" s="1"/>
  <c r="B53" i="1"/>
  <c r="B48" i="1"/>
  <c r="B44" i="1"/>
  <c r="B39" i="1"/>
  <c r="B33" i="1"/>
  <c r="B31" i="1"/>
  <c r="B27" i="1"/>
  <c r="B16" i="1"/>
  <c r="B14" i="1"/>
  <c r="B8" i="1"/>
  <c r="B63" i="1" s="1"/>
  <c r="F5" i="1"/>
  <c r="E5" i="1"/>
  <c r="B5" i="1"/>
  <c r="B22" i="1" s="1"/>
  <c r="B34" i="1"/>
  <c r="B17" i="1"/>
  <c r="B80" i="1"/>
  <c r="B83" i="1"/>
  <c r="B81" i="1"/>
  <c r="D81" i="1" s="1"/>
  <c r="D80" i="1"/>
  <c r="I44" i="3" l="1"/>
  <c r="I56" i="3"/>
  <c r="I20" i="4"/>
  <c r="F39" i="4"/>
  <c r="I39" i="4" s="1"/>
  <c r="E29" i="4"/>
  <c r="E27" i="3"/>
  <c r="E42" i="4"/>
  <c r="F8" i="4"/>
  <c r="I8" i="4" s="1"/>
  <c r="F20" i="4"/>
  <c r="E22" i="4"/>
  <c r="F26" i="4"/>
  <c r="E30" i="4"/>
  <c r="E34" i="4"/>
  <c r="I55" i="4"/>
  <c r="I23" i="4"/>
  <c r="E7" i="3"/>
  <c r="F12" i="3"/>
  <c r="I53" i="3"/>
  <c r="F52" i="4"/>
  <c r="I52" i="4" s="1"/>
  <c r="I35" i="4"/>
  <c r="I45" i="3"/>
  <c r="F4" i="4"/>
  <c r="F47" i="4"/>
  <c r="E51" i="4"/>
  <c r="I51" i="4" s="1"/>
  <c r="F45" i="3"/>
  <c r="F50" i="3"/>
  <c r="F21" i="3"/>
  <c r="I21" i="3" s="1"/>
  <c r="F33" i="3"/>
  <c r="I33" i="3" s="1"/>
  <c r="E41" i="3"/>
  <c r="E12" i="4"/>
  <c r="I41" i="4"/>
  <c r="I34" i="3"/>
  <c r="E50" i="3"/>
  <c r="F8" i="3"/>
  <c r="F18" i="3"/>
  <c r="E26" i="3"/>
  <c r="E31" i="3"/>
  <c r="E35" i="3"/>
  <c r="I35" i="3" s="1"/>
  <c r="E46" i="3"/>
  <c r="I46" i="3" s="1"/>
  <c r="E55" i="3"/>
  <c r="E10" i="4"/>
  <c r="F24" i="4"/>
  <c r="I24" i="4" s="1"/>
  <c r="E32" i="4"/>
  <c r="I32" i="4" s="1"/>
  <c r="F36" i="4"/>
  <c r="F44" i="4"/>
  <c r="I44" i="4" s="1"/>
  <c r="E56" i="4"/>
  <c r="E54" i="3"/>
  <c r="I54" i="3" s="1"/>
  <c r="E2" i="3"/>
  <c r="F14" i="3"/>
  <c r="E43" i="3"/>
  <c r="I43" i="3" s="1"/>
  <c r="F16" i="4"/>
  <c r="F57" i="4"/>
  <c r="I57" i="4" s="1"/>
  <c r="I4" i="4"/>
  <c r="I51" i="3"/>
  <c r="F54" i="3"/>
  <c r="E14" i="3"/>
  <c r="I49" i="3"/>
  <c r="F55" i="3"/>
  <c r="E3" i="3"/>
  <c r="E5" i="3"/>
  <c r="E28" i="3"/>
  <c r="F9" i="4"/>
  <c r="I9" i="4" s="1"/>
  <c r="F31" i="4"/>
  <c r="I31" i="4" s="1"/>
  <c r="E43" i="4"/>
  <c r="I43" i="4" s="1"/>
  <c r="E12" i="3"/>
  <c r="I12" i="3" s="1"/>
  <c r="I36" i="4"/>
  <c r="F56" i="4"/>
  <c r="I56" i="4" s="1"/>
  <c r="I38" i="3"/>
  <c r="I13" i="3"/>
  <c r="I27" i="3"/>
  <c r="D12" i="2"/>
  <c r="E12" i="2" s="1"/>
  <c r="E18" i="2" s="1"/>
  <c r="I29" i="3"/>
  <c r="E4" i="3"/>
  <c r="I4" i="3" s="1"/>
  <c r="F15" i="3"/>
  <c r="I15" i="3" s="1"/>
  <c r="F10" i="3"/>
  <c r="I10" i="3" s="1"/>
  <c r="E7" i="4"/>
  <c r="F21" i="4"/>
  <c r="E57" i="3"/>
  <c r="F2" i="3"/>
  <c r="I2" i="3" s="1"/>
  <c r="F28" i="3"/>
  <c r="E11" i="3"/>
  <c r="E24" i="3"/>
  <c r="F42" i="3"/>
  <c r="I42" i="3" s="1"/>
  <c r="F52" i="3"/>
  <c r="I52" i="3" s="1"/>
  <c r="E5" i="4"/>
  <c r="I5" i="4" s="1"/>
  <c r="F18" i="4"/>
  <c r="I18" i="4" s="1"/>
  <c r="I37" i="3"/>
  <c r="I18" i="3"/>
  <c r="I42" i="4"/>
  <c r="E14" i="4"/>
  <c r="F17" i="3"/>
  <c r="E32" i="3"/>
  <c r="I32" i="3" s="1"/>
  <c r="F7" i="4"/>
  <c r="F14" i="4"/>
  <c r="E13" i="4"/>
  <c r="I29" i="4"/>
  <c r="I47" i="4"/>
  <c r="I22" i="4"/>
  <c r="E25" i="3"/>
  <c r="F30" i="3"/>
  <c r="I30" i="3" s="1"/>
  <c r="F3" i="4"/>
  <c r="I3" i="4" s="1"/>
  <c r="I15" i="4"/>
  <c r="E54" i="4"/>
  <c r="I54" i="4" s="1"/>
  <c r="B49" i="2"/>
  <c r="B46" i="2"/>
  <c r="B47" i="2" s="1"/>
  <c r="B86" i="1"/>
  <c r="B87" i="1" s="1"/>
  <c r="B89" i="1"/>
  <c r="D40" i="2"/>
  <c r="B43" i="2"/>
  <c r="B41" i="2"/>
  <c r="D41" i="2" s="1"/>
  <c r="AE8" i="3"/>
  <c r="AI7" i="3"/>
  <c r="B24" i="1"/>
  <c r="B41" i="1"/>
  <c r="F5" i="3"/>
  <c r="F7" i="3"/>
  <c r="I7" i="3" s="1"/>
  <c r="U2" i="3"/>
  <c r="T2" i="3" s="1"/>
  <c r="AE8" i="4"/>
  <c r="AI8" i="4" s="1"/>
  <c r="AH8" i="4" s="1"/>
  <c r="AG8" i="4" s="1"/>
  <c r="AI7" i="4"/>
  <c r="AH5" i="4"/>
  <c r="I17" i="3"/>
  <c r="F11" i="3"/>
  <c r="I11" i="3" s="1"/>
  <c r="U6" i="3"/>
  <c r="T6" i="3" s="1"/>
  <c r="E22" i="3"/>
  <c r="F22" i="3"/>
  <c r="F3" i="3"/>
  <c r="U9" i="3"/>
  <c r="T9" i="3" s="1"/>
  <c r="F16" i="3"/>
  <c r="E16" i="3"/>
  <c r="I16" i="3" s="1"/>
  <c r="B19" i="1"/>
  <c r="AI6" i="3"/>
  <c r="AH6" i="3" s="1"/>
  <c r="AB5" i="3" a="1"/>
  <c r="AB5" i="3" s="1"/>
  <c r="AA5" i="3" a="1"/>
  <c r="AA5" i="3" s="1"/>
  <c r="AC5" i="3" s="1"/>
  <c r="I50" i="3"/>
  <c r="AH4" i="3"/>
  <c r="E8" i="3"/>
  <c r="AC6" i="4"/>
  <c r="I26" i="3"/>
  <c r="F9" i="3"/>
  <c r="I9" i="3" s="1"/>
  <c r="F24" i="3"/>
  <c r="B36" i="1"/>
  <c r="F6" i="3"/>
  <c r="E6" i="3"/>
  <c r="U16" i="3"/>
  <c r="T16" i="3" s="1"/>
  <c r="B50" i="1"/>
  <c r="B55" i="1"/>
  <c r="E13" i="2"/>
  <c r="AA6" i="3" a="1"/>
  <c r="AA6" i="3" s="1"/>
  <c r="AC6" i="3" s="1"/>
  <c r="I57" i="3"/>
  <c r="U21" i="3"/>
  <c r="T21" i="3" s="1"/>
  <c r="E36" i="3"/>
  <c r="F36" i="3"/>
  <c r="AB6" i="4" a="1"/>
  <c r="AB6" i="4" s="1"/>
  <c r="U17" i="3"/>
  <c r="T17" i="3" s="1"/>
  <c r="E23" i="3"/>
  <c r="F25" i="3"/>
  <c r="I25" i="3" s="1"/>
  <c r="U40" i="3"/>
  <c r="T40" i="3" s="1"/>
  <c r="Y10" i="4"/>
  <c r="E16" i="4"/>
  <c r="I16" i="4" s="1"/>
  <c r="F10" i="4"/>
  <c r="F5" i="4"/>
  <c r="U6" i="4"/>
  <c r="T6" i="4" s="1"/>
  <c r="U12" i="4"/>
  <c r="T12" i="4" s="1"/>
  <c r="U11" i="4"/>
  <c r="T11" i="4" s="1"/>
  <c r="T20" i="4"/>
  <c r="F30" i="4"/>
  <c r="I30" i="4" s="1"/>
  <c r="F46" i="4"/>
  <c r="I46" i="4" s="1"/>
  <c r="F50" i="4"/>
  <c r="I50" i="4" s="1"/>
  <c r="F19" i="3"/>
  <c r="I19" i="3" s="1"/>
  <c r="U30" i="3"/>
  <c r="T30" i="3" s="1"/>
  <c r="AI6" i="4"/>
  <c r="AH6" i="4" s="1"/>
  <c r="E11" i="4"/>
  <c r="I11" i="4" s="1"/>
  <c r="E26" i="4"/>
  <c r="I26" i="4" s="1"/>
  <c r="F34" i="4"/>
  <c r="I34" i="4" s="1"/>
  <c r="F13" i="4"/>
  <c r="AH3" i="4"/>
  <c r="F17" i="4"/>
  <c r="I17" i="4" s="1"/>
  <c r="I41" i="3"/>
  <c r="F23" i="3"/>
  <c r="U25" i="3"/>
  <c r="T25" i="3" s="1"/>
  <c r="U45" i="3"/>
  <c r="T45" i="3" s="1"/>
  <c r="E48" i="3"/>
  <c r="I48" i="3" s="1"/>
  <c r="E21" i="4"/>
  <c r="E28" i="4"/>
  <c r="I28" i="4" s="1"/>
  <c r="U9" i="4"/>
  <c r="T9" i="4" s="1"/>
  <c r="F12" i="4"/>
  <c r="I12" i="4" s="1"/>
  <c r="F48" i="4"/>
  <c r="E48" i="4"/>
  <c r="I48" i="4" s="1"/>
  <c r="U28" i="3"/>
  <c r="T28" i="3" s="1"/>
  <c r="F31" i="3"/>
  <c r="I31" i="3" s="1"/>
  <c r="U19" i="4"/>
  <c r="T19" i="4" s="1"/>
  <c r="E6" i="4"/>
  <c r="I6" i="4" s="1"/>
  <c r="F47" i="3"/>
  <c r="I47" i="3" s="1"/>
  <c r="I37" i="4"/>
  <c r="F40" i="3"/>
  <c r="E40" i="3"/>
  <c r="F2" i="4"/>
  <c r="E2" i="4"/>
  <c r="U8" i="4"/>
  <c r="T8" i="4" s="1"/>
  <c r="E45" i="4"/>
  <c r="F45" i="4"/>
  <c r="E53" i="4"/>
  <c r="I53" i="4" s="1"/>
  <c r="I24" i="3" l="1"/>
  <c r="I55" i="3"/>
  <c r="I10" i="4"/>
  <c r="I8" i="3"/>
  <c r="I21" i="4"/>
  <c r="I13" i="4"/>
  <c r="I28" i="3"/>
  <c r="I14" i="3"/>
  <c r="I5" i="3"/>
  <c r="I3" i="3"/>
  <c r="I14" i="4"/>
  <c r="E17" i="2"/>
  <c r="E20" i="2"/>
  <c r="D14" i="2"/>
  <c r="E14" i="2" s="1"/>
  <c r="I7" i="4"/>
  <c r="Y5" i="3"/>
  <c r="Y13" i="3" s="1"/>
  <c r="Y22" i="3" s="1"/>
  <c r="Y24" i="3" s="1"/>
  <c r="AH7" i="3"/>
  <c r="AG3" i="4"/>
  <c r="I2" i="4"/>
  <c r="I36" i="3"/>
  <c r="I6" i="3"/>
  <c r="L17" i="3" s="1"/>
  <c r="L18" i="3" s="1"/>
  <c r="AH7" i="4"/>
  <c r="AG7" i="4" s="1"/>
  <c r="AE9" i="3"/>
  <c r="AI9" i="3" s="1"/>
  <c r="AI8" i="3"/>
  <c r="AG6" i="3" s="1"/>
  <c r="L14" i="3"/>
  <c r="L15" i="3" s="1"/>
  <c r="I40" i="3"/>
  <c r="I22" i="3"/>
  <c r="AA5" i="4" a="1"/>
  <c r="AA5" i="4" s="1"/>
  <c r="AC5" i="4" s="1"/>
  <c r="Y5" i="4" s="1"/>
  <c r="Y13" i="4" s="1"/>
  <c r="Y22" i="4" s="1"/>
  <c r="Y24" i="4" s="1"/>
  <c r="AB5" i="4" a="1"/>
  <c r="AB5" i="4" s="1"/>
  <c r="AG6" i="4"/>
  <c r="I23" i="3"/>
  <c r="L10" i="3" s="1"/>
  <c r="AG4" i="4"/>
  <c r="AG2" i="4"/>
  <c r="B61" i="1"/>
  <c r="I45" i="4"/>
  <c r="AG5" i="4"/>
  <c r="E19" i="2"/>
  <c r="E21" i="2" s="1"/>
  <c r="L11" i="3" l="1"/>
  <c r="AG4" i="3"/>
  <c r="L11" i="4"/>
  <c r="L12" i="4"/>
  <c r="L14" i="4"/>
  <c r="L15" i="4" s="1"/>
  <c r="L10" i="4"/>
  <c r="AH8" i="3"/>
  <c r="AG8" i="3" s="1"/>
  <c r="AG2" i="3"/>
  <c r="AG5" i="3"/>
  <c r="AG3" i="3"/>
  <c r="L12" i="3"/>
  <c r="AG7" i="3"/>
  <c r="AH9" i="3"/>
  <c r="AG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<sst xmlns="http://schemas.openxmlformats.org/spreadsheetml/2006/main" count="267" uniqueCount="109">
  <si>
    <t>Phyllosticta Case study Scenario 1</t>
  </si>
  <si>
    <t>Common parameters</t>
  </si>
  <si>
    <t>Lower</t>
  </si>
  <si>
    <t>Upper</t>
  </si>
  <si>
    <t>Mean</t>
  </si>
  <si>
    <t>Host plant density</t>
  </si>
  <si>
    <t>no/km2</t>
  </si>
  <si>
    <t>Population radius</t>
  </si>
  <si>
    <t>km</t>
  </si>
  <si>
    <t>Inspection time per plant</t>
  </si>
  <si>
    <t>h</t>
  </si>
  <si>
    <t>Band 1</t>
  </si>
  <si>
    <t>PIZ side length</t>
  </si>
  <si>
    <t>PIZ area</t>
  </si>
  <si>
    <t>km2</t>
  </si>
  <si>
    <t>Outer band width</t>
  </si>
  <si>
    <t>Total area</t>
  </si>
  <si>
    <t>Outer band area</t>
  </si>
  <si>
    <t>Outer band trees, total</t>
  </si>
  <si>
    <t>no</t>
  </si>
  <si>
    <t>target infestation rate</t>
  </si>
  <si>
    <t>no/tree</t>
  </si>
  <si>
    <t>target infestation density</t>
  </si>
  <si>
    <t>n</t>
  </si>
  <si>
    <t>Effective sample area</t>
  </si>
  <si>
    <t>infestation rate (no/tree)</t>
  </si>
  <si>
    <t>Infested trees</t>
  </si>
  <si>
    <t>Band 2</t>
  </si>
  <si>
    <t>Band 3</t>
  </si>
  <si>
    <t>Band trees, total</t>
  </si>
  <si>
    <t>Detection?</t>
  </si>
  <si>
    <t>Total sample size</t>
  </si>
  <si>
    <t>Total sample area</t>
  </si>
  <si>
    <t>Original/ inspection time, total</t>
  </si>
  <si>
    <t>Transect radius</t>
  </si>
  <si>
    <t>Transect no., base</t>
  </si>
  <si>
    <t>Transect length, total</t>
  </si>
  <si>
    <t>Target infestation rate</t>
  </si>
  <si>
    <t>no/plant</t>
  </si>
  <si>
    <t>Infestation density</t>
  </si>
  <si>
    <t>target n</t>
  </si>
  <si>
    <t>Acrit</t>
  </si>
  <si>
    <t>W0</t>
  </si>
  <si>
    <t>m</t>
  </si>
  <si>
    <t>Transect no, alternate</t>
  </si>
  <si>
    <t>Total transect length</t>
  </si>
  <si>
    <t>Transect width, alternate</t>
  </si>
  <si>
    <t>Total width</t>
  </si>
  <si>
    <t>Transect area, total</t>
  </si>
  <si>
    <t>Trees per transect</t>
  </si>
  <si>
    <t>trees/m</t>
  </si>
  <si>
    <t>trees/km</t>
  </si>
  <si>
    <t>Transect trees, total</t>
  </si>
  <si>
    <t>TDDS/ Infested plants</t>
  </si>
  <si>
    <t>TDDS/ inspection time, total</t>
  </si>
  <si>
    <t>Phyllosticta Case study Scenario 2</t>
  </si>
  <si>
    <t>EFSA Plan</t>
  </si>
  <si>
    <t>Infected trees</t>
  </si>
  <si>
    <t>Band1</t>
  </si>
  <si>
    <t>Band2</t>
  </si>
  <si>
    <t>Band0</t>
  </si>
  <si>
    <t>Band-1</t>
  </si>
  <si>
    <t>Outcomes</t>
  </si>
  <si>
    <t>Both?</t>
  </si>
  <si>
    <t>Failure?</t>
  </si>
  <si>
    <t>Sample size</t>
  </si>
  <si>
    <t>Sample area</t>
  </si>
  <si>
    <t>Inspection time</t>
  </si>
  <si>
    <t>Target infection rate</t>
  </si>
  <si>
    <t>Detection</t>
  </si>
  <si>
    <t>X1</t>
  </si>
  <si>
    <t>Y1</t>
  </si>
  <si>
    <t>Angle1</t>
  </si>
  <si>
    <t>Distance1</t>
  </si>
  <si>
    <t>D from origin</t>
  </si>
  <si>
    <t>Bins</t>
  </si>
  <si>
    <t>Mid pts</t>
  </si>
  <si>
    <t>Proprtn</t>
  </si>
  <si>
    <t>Freq</t>
  </si>
  <si>
    <t>Count</t>
  </si>
  <si>
    <t>angle</t>
  </si>
  <si>
    <t>distance</t>
  </si>
  <si>
    <t>sd</t>
  </si>
  <si>
    <t>range</t>
  </si>
  <si>
    <t>v1</t>
  </si>
  <si>
    <t>v2</t>
  </si>
  <si>
    <t>mn</t>
  </si>
  <si>
    <t>IQR</t>
  </si>
  <si>
    <t>radius</t>
  </si>
  <si>
    <t>quartiles</t>
  </si>
  <si>
    <t>mean</t>
  </si>
  <si>
    <t>min</t>
  </si>
  <si>
    <t>max</t>
  </si>
  <si>
    <t>Transect</t>
  </si>
  <si>
    <t>FD</t>
  </si>
  <si>
    <t>&lt;400</t>
  </si>
  <si>
    <t>&lt;half</t>
  </si>
  <si>
    <t>K</t>
  </si>
  <si>
    <t>Max</t>
  </si>
  <si>
    <t>K bin</t>
  </si>
  <si>
    <t>FD bin</t>
  </si>
  <si>
    <t>Legend</t>
  </si>
  <si>
    <t>Point estimate</t>
  </si>
  <si>
    <t>Calculated value</t>
  </si>
  <si>
    <t>Probabilistic term</t>
  </si>
  <si>
    <t>Lookup value</t>
  </si>
  <si>
    <t>Output value</t>
  </si>
  <si>
    <t>DTDS Plan</t>
  </si>
  <si>
    <t>EFSA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</si>
</sst>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000"/>
    <numFmt numFmtId="165" formatCode="#,##0.0"/>
    <numFmt numFmtId="166" formatCode="#,##0.0000"/>
    <numFmt numFmtId="167" formatCode="0.0000"/>
    <numFmt numFmtId="168" formatCode="0.0"/>
    <numFmt numFmtId="169" formatCode="0.000"/>
    <numFmt numFmtId="170" formatCode="_(* #,##0_);_(* \(#,##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2" fontId="0" fillId="0" borderId="0" xfId="0" applyNumberFormat="1"/>
    <xf numFmtId="3" fontId="0" fillId="2" borderId="0" xfId="0" applyNumberFormat="1" applyFill="1"/>
    <xf numFmtId="164" fontId="0" fillId="0" borderId="0" xfId="0" applyNumberFormat="1"/>
    <xf numFmtId="3" fontId="0" fillId="3" borderId="0" xfId="0" applyNumberFormat="1" applyFill="1"/>
    <xf numFmtId="0" fontId="0" fillId="3" borderId="0" xfId="0" applyFill="1"/>
    <xf numFmtId="3" fontId="0" fillId="0" borderId="0" xfId="0" applyNumberFormat="1"/>
    <xf numFmtId="2" fontId="0" fillId="3" borderId="0" xfId="0" applyNumberFormat="1" applyFill="1"/>
    <xf numFmtId="0" fontId="0" fillId="4" borderId="0" xfId="0" applyFill="1"/>
    <xf numFmtId="3" fontId="0" fillId="4" borderId="0" xfId="0" applyNumberFormat="1" applyFill="1"/>
    <xf numFmtId="2" fontId="0" fillId="4" borderId="0" xfId="0" applyNumberFormat="1" applyFill="1"/>
    <xf numFmtId="165" fontId="0" fillId="2" borderId="0" xfId="0" applyNumberFormat="1" applyFill="1"/>
    <xf numFmtId="165" fontId="0" fillId="0" borderId="0" xfId="0" applyNumberFormat="1"/>
    <xf numFmtId="166" fontId="0" fillId="4" borderId="0" xfId="0" applyNumberFormat="1" applyFill="1"/>
    <xf numFmtId="167" fontId="0" fillId="4" borderId="0" xfId="0" applyNumberFormat="1" applyFill="1"/>
    <xf numFmtId="168" fontId="0" fillId="4" borderId="0" xfId="0" applyNumberFormat="1" applyFill="1"/>
    <xf numFmtId="167" fontId="0" fillId="3" borderId="0" xfId="0" applyNumberFormat="1" applyFill="1"/>
    <xf numFmtId="168" fontId="0" fillId="0" borderId="0" xfId="0" applyNumberFormat="1"/>
    <xf numFmtId="4" fontId="0" fillId="5" borderId="0" xfId="0" applyNumberFormat="1" applyFill="1"/>
    <xf numFmtId="4" fontId="0" fillId="0" borderId="0" xfId="0" applyNumberFormat="1"/>
    <xf numFmtId="0" fontId="0" fillId="6" borderId="0" xfId="0" applyFill="1"/>
    <xf numFmtId="0" fontId="0" fillId="2" borderId="0" xfId="0" applyFill="1"/>
    <xf numFmtId="0" fontId="0" fillId="7" borderId="0" xfId="0" applyFill="1"/>
    <xf numFmtId="166" fontId="0" fillId="0" borderId="0" xfId="0" applyNumberFormat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2" fontId="0" fillId="5" borderId="0" xfId="0" applyNumberFormat="1" applyFill="1"/>
    <xf numFmtId="165" fontId="1" fillId="0" borderId="0" xfId="0" applyNumberFormat="1" applyFont="1"/>
    <xf numFmtId="169" fontId="0" fillId="0" borderId="0" xfId="0" applyNumberFormat="1"/>
    <xf numFmtId="0" fontId="0" fillId="0" borderId="0" xfId="0" applyAlignment="1">
      <alignment horizontal="right"/>
    </xf>
    <xf numFmtId="0" fontId="0" fillId="8" borderId="0" xfId="0" applyFill="1"/>
    <xf numFmtId="2" fontId="0" fillId="8" borderId="0" xfId="0" applyNumberFormat="1" applyFill="1"/>
    <xf numFmtId="170" fontId="0" fillId="3" borderId="0" xfId="1" applyNumberFormat="1" applyFont="1" applyFill="1"/>
    <xf numFmtId="2" fontId="0" fillId="9" borderId="0" xfId="0" applyNumberFormat="1" applyFill="1"/>
    <xf numFmtId="2" fontId="0" fillId="10" borderId="0" xfId="0" applyNumberFormat="1" applyFill="1"/>
    <xf numFmtId="0" fontId="0" fillId="11" borderId="0" xfId="0" applyFill="1"/>
    <xf numFmtId="3" fontId="0" fillId="11" borderId="0" xfId="0" applyNumberFormat="1" applyFill="1"/>
    <xf numFmtId="165" fontId="0" fillId="11" borderId="0" xfId="0" applyNumberFormat="1" applyFill="1"/>
    <xf numFmtId="1" fontId="0" fillId="11" borderId="0" xfId="0" applyNumberFormat="1" applyFill="1"/>
    <xf numFmtId="2" fontId="0" fillId="11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'DTDS Spatial Model Scen1'!$AG$1</c:f>
              <c:strCache>
                <c:ptCount val="1"/>
                <c:pt idx="0">
                  <c:v>Proprtn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'DTDS Spatial Model Scen1'!$AF$2:$AF$58</c:f>
              <c:numCache>
                <c:formatCode>General</c:formatCode>
                <c:ptCount val="57"/>
                <c:pt idx="0">
                  <c:v>65</c:v>
                </c:pt>
                <c:pt idx="1">
                  <c:v>195</c:v>
                </c:pt>
                <c:pt idx="2">
                  <c:v>325</c:v>
                </c:pt>
                <c:pt idx="3">
                  <c:v>455</c:v>
                </c:pt>
                <c:pt idx="4">
                  <c:v>585</c:v>
                </c:pt>
                <c:pt idx="5">
                  <c:v>715</c:v>
                </c:pt>
                <c:pt idx="6">
                  <c:v>845</c:v>
                </c:pt>
              </c:numCache>
            </c:numRef>
          </c:xVal>
          <c:yVal>
            <c:numRef>
              <c:f>'DTDS Spatial Model Scen1'!$AG$2:$AG$58</c:f>
              <c:numCache>
                <c:formatCode>0.000</c:formatCode>
                <c:ptCount val="57"/>
                <c:pt idx="0">
                  <c:v>0.14285714285714285</c:v>
                </c:pt>
                <c:pt idx="1">
                  <c:v>0.32142857142857145</c:v>
                </c:pt>
                <c:pt idx="2">
                  <c:v>0.19642857142857142</c:v>
                </c:pt>
                <c:pt idx="3">
                  <c:v>0.16071428571428573</c:v>
                </c:pt>
                <c:pt idx="4">
                  <c:v>3.5714285714285712E-2</c:v>
                </c:pt>
                <c:pt idx="5">
                  <c:v>0.10714285714285714</c:v>
                </c:pt>
                <c:pt idx="6">
                  <c:v>3.5714285714285712E-2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99-465F-B03F-DFD940140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408000"/>
        <c:axId val="1784409664"/>
      </c:scatterChart>
      <c:valAx>
        <c:axId val="178440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409664"/>
        <c:crosses val="autoZero"/>
        <c:crossBetween val="midCat"/>
      </c:valAx>
      <c:valAx>
        <c:axId val="178440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40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'DTDS Spatial Model Scen2'!$AG$1</c:f>
              <c:strCache>
                <c:ptCount val="1"/>
                <c:pt idx="0">
                  <c:v>Proprtn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'DTDS Spatial Model Scen2'!$AF$2:$AF$58</c:f>
              <c:numCache>
                <c:formatCode>General</c:formatCode>
                <c:ptCount val="57"/>
                <c:pt idx="0">
                  <c:v>175</c:v>
                </c:pt>
                <c:pt idx="1">
                  <c:v>525</c:v>
                </c:pt>
                <c:pt idx="2">
                  <c:v>875</c:v>
                </c:pt>
                <c:pt idx="3">
                  <c:v>1225</c:v>
                </c:pt>
                <c:pt idx="4">
                  <c:v>1575</c:v>
                </c:pt>
                <c:pt idx="5">
                  <c:v>1925</c:v>
                </c:pt>
                <c:pt idx="6">
                  <c:v>2275</c:v>
                </c:pt>
                <c:pt idx="7">
                  <c:v>2625</c:v>
                </c:pt>
              </c:numCache>
            </c:numRef>
          </c:xVal>
          <c:yVal>
            <c:numRef>
              <c:f>'DTDS Spatial Model Scen2'!$AG$2:$AG$58</c:f>
              <c:numCache>
                <c:formatCode>0.000</c:formatCode>
                <c:ptCount val="57"/>
                <c:pt idx="0">
                  <c:v>0.25</c:v>
                </c:pt>
                <c:pt idx="1">
                  <c:v>0.10714285714285714</c:v>
                </c:pt>
                <c:pt idx="2">
                  <c:v>0.19642857142857142</c:v>
                </c:pt>
                <c:pt idx="3">
                  <c:v>0.10714285714285714</c:v>
                </c:pt>
                <c:pt idx="4">
                  <c:v>0.125</c:v>
                </c:pt>
                <c:pt idx="5">
                  <c:v>0.16071428571428573</c:v>
                </c:pt>
                <c:pt idx="6">
                  <c:v>5.3571428571428568E-2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D-4930-9A65-0ECA1F9AF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408000"/>
        <c:axId val="1784409664"/>
      </c:scatterChart>
      <c:valAx>
        <c:axId val="178440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409664"/>
        <c:crosses val="autoZero"/>
        <c:crossBetween val="midCat"/>
      </c:valAx>
      <c:valAx>
        <c:axId val="178440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40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'DTDS Spatial Model Scen2'!$T$1</c:f>
              <c:strCache>
                <c:ptCount val="1"/>
                <c:pt idx="0">
                  <c:v>Proprtn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'DTDS Spatial Model Scen2'!$S$2:$S$58</c:f>
              <c:numCache>
                <c:formatCode>General</c:formatCode>
                <c:ptCount val="57"/>
                <c:pt idx="0">
                  <c:v>25</c:v>
                </c:pt>
                <c:pt idx="1">
                  <c:v>75</c:v>
                </c:pt>
                <c:pt idx="2">
                  <c:v>125</c:v>
                </c:pt>
                <c:pt idx="3">
                  <c:v>175</c:v>
                </c:pt>
                <c:pt idx="4">
                  <c:v>225</c:v>
                </c:pt>
                <c:pt idx="5">
                  <c:v>275</c:v>
                </c:pt>
                <c:pt idx="6">
                  <c:v>325</c:v>
                </c:pt>
                <c:pt idx="7">
                  <c:v>375</c:v>
                </c:pt>
                <c:pt idx="8">
                  <c:v>425</c:v>
                </c:pt>
                <c:pt idx="9">
                  <c:v>475</c:v>
                </c:pt>
                <c:pt idx="10">
                  <c:v>525</c:v>
                </c:pt>
                <c:pt idx="11">
                  <c:v>575</c:v>
                </c:pt>
                <c:pt idx="12">
                  <c:v>625</c:v>
                </c:pt>
                <c:pt idx="13">
                  <c:v>675</c:v>
                </c:pt>
                <c:pt idx="14">
                  <c:v>725</c:v>
                </c:pt>
                <c:pt idx="15">
                  <c:v>775</c:v>
                </c:pt>
                <c:pt idx="16">
                  <c:v>825</c:v>
                </c:pt>
                <c:pt idx="17">
                  <c:v>875</c:v>
                </c:pt>
                <c:pt idx="18">
                  <c:v>925</c:v>
                </c:pt>
                <c:pt idx="19">
                  <c:v>975</c:v>
                </c:pt>
                <c:pt idx="20">
                  <c:v>1025</c:v>
                </c:pt>
                <c:pt idx="21">
                  <c:v>1075</c:v>
                </c:pt>
                <c:pt idx="22">
                  <c:v>1125</c:v>
                </c:pt>
                <c:pt idx="23">
                  <c:v>1175</c:v>
                </c:pt>
                <c:pt idx="24">
                  <c:v>1225</c:v>
                </c:pt>
                <c:pt idx="25">
                  <c:v>1275</c:v>
                </c:pt>
                <c:pt idx="26">
                  <c:v>1325</c:v>
                </c:pt>
                <c:pt idx="27">
                  <c:v>1375</c:v>
                </c:pt>
                <c:pt idx="28">
                  <c:v>1425</c:v>
                </c:pt>
                <c:pt idx="29">
                  <c:v>1475</c:v>
                </c:pt>
                <c:pt idx="30">
                  <c:v>1525</c:v>
                </c:pt>
                <c:pt idx="31">
                  <c:v>1575</c:v>
                </c:pt>
                <c:pt idx="32">
                  <c:v>1625</c:v>
                </c:pt>
                <c:pt idx="33">
                  <c:v>1675</c:v>
                </c:pt>
                <c:pt idx="34">
                  <c:v>1725</c:v>
                </c:pt>
                <c:pt idx="35">
                  <c:v>1775</c:v>
                </c:pt>
                <c:pt idx="36">
                  <c:v>1825</c:v>
                </c:pt>
                <c:pt idx="37">
                  <c:v>1875</c:v>
                </c:pt>
                <c:pt idx="38">
                  <c:v>1925</c:v>
                </c:pt>
                <c:pt idx="39">
                  <c:v>1975</c:v>
                </c:pt>
                <c:pt idx="40">
                  <c:v>2025</c:v>
                </c:pt>
                <c:pt idx="41">
                  <c:v>2075</c:v>
                </c:pt>
                <c:pt idx="42">
                  <c:v>2125</c:v>
                </c:pt>
                <c:pt idx="43">
                  <c:v>2175</c:v>
                </c:pt>
                <c:pt idx="44">
                  <c:v>2225</c:v>
                </c:pt>
                <c:pt idx="45">
                  <c:v>2275</c:v>
                </c:pt>
                <c:pt idx="46">
                  <c:v>2325</c:v>
                </c:pt>
                <c:pt idx="47">
                  <c:v>2375</c:v>
                </c:pt>
              </c:numCache>
            </c:numRef>
          </c:xVal>
          <c:yVal>
            <c:numRef>
              <c:f>'DTDS Spatial Model Scen2'!$T$2:$T$58</c:f>
              <c:numCache>
                <c:formatCode>0.000</c:formatCode>
                <c:ptCount val="57"/>
                <c:pt idx="0">
                  <c:v>0</c:v>
                </c:pt>
                <c:pt idx="1">
                  <c:v>7.1428571428571425E-2</c:v>
                </c:pt>
                <c:pt idx="2">
                  <c:v>5.3571428571428568E-2</c:v>
                </c:pt>
                <c:pt idx="3">
                  <c:v>0</c:v>
                </c:pt>
                <c:pt idx="4">
                  <c:v>3.5714285714285712E-2</c:v>
                </c:pt>
                <c:pt idx="5">
                  <c:v>1.7857142857142856E-2</c:v>
                </c:pt>
                <c:pt idx="6">
                  <c:v>7.1428571428571425E-2</c:v>
                </c:pt>
                <c:pt idx="7">
                  <c:v>3.5714285714285712E-2</c:v>
                </c:pt>
                <c:pt idx="8">
                  <c:v>1.7857142857142856E-2</c:v>
                </c:pt>
                <c:pt idx="9">
                  <c:v>0</c:v>
                </c:pt>
                <c:pt idx="10">
                  <c:v>1.7857142857142856E-2</c:v>
                </c:pt>
                <c:pt idx="11">
                  <c:v>1.7857142857142856E-2</c:v>
                </c:pt>
                <c:pt idx="12">
                  <c:v>0</c:v>
                </c:pt>
                <c:pt idx="13">
                  <c:v>1.7857142857142856E-2</c:v>
                </c:pt>
                <c:pt idx="14">
                  <c:v>0</c:v>
                </c:pt>
                <c:pt idx="15">
                  <c:v>7.1428571428571425E-2</c:v>
                </c:pt>
                <c:pt idx="16">
                  <c:v>7.1428571428571425E-2</c:v>
                </c:pt>
                <c:pt idx="17">
                  <c:v>0</c:v>
                </c:pt>
                <c:pt idx="18">
                  <c:v>1.7857142857142856E-2</c:v>
                </c:pt>
                <c:pt idx="19">
                  <c:v>1.7857142857142856E-2</c:v>
                </c:pt>
                <c:pt idx="20">
                  <c:v>1.7857142857142856E-2</c:v>
                </c:pt>
                <c:pt idx="21">
                  <c:v>1.7857142857142856E-2</c:v>
                </c:pt>
                <c:pt idx="22">
                  <c:v>5.3571428571428568E-2</c:v>
                </c:pt>
                <c:pt idx="23">
                  <c:v>1.7857142857142856E-2</c:v>
                </c:pt>
                <c:pt idx="24">
                  <c:v>0</c:v>
                </c:pt>
                <c:pt idx="25">
                  <c:v>0</c:v>
                </c:pt>
                <c:pt idx="26">
                  <c:v>1.7857142857142856E-2</c:v>
                </c:pt>
                <c:pt idx="27">
                  <c:v>0</c:v>
                </c:pt>
                <c:pt idx="28">
                  <c:v>1.7857142857142856E-2</c:v>
                </c:pt>
                <c:pt idx="29">
                  <c:v>1.7857142857142856E-2</c:v>
                </c:pt>
                <c:pt idx="30">
                  <c:v>1.7857142857142856E-2</c:v>
                </c:pt>
                <c:pt idx="31">
                  <c:v>3.5714285714285712E-2</c:v>
                </c:pt>
                <c:pt idx="32">
                  <c:v>1.7857142857142856E-2</c:v>
                </c:pt>
                <c:pt idx="33">
                  <c:v>0</c:v>
                </c:pt>
                <c:pt idx="34">
                  <c:v>1.7857142857142856E-2</c:v>
                </c:pt>
                <c:pt idx="35">
                  <c:v>0</c:v>
                </c:pt>
                <c:pt idx="36">
                  <c:v>1.7857142857142856E-2</c:v>
                </c:pt>
                <c:pt idx="37">
                  <c:v>1.7857142857142856E-2</c:v>
                </c:pt>
                <c:pt idx="38">
                  <c:v>5.3571428571428568E-2</c:v>
                </c:pt>
                <c:pt idx="39">
                  <c:v>1.7857142857142856E-2</c:v>
                </c:pt>
                <c:pt idx="40">
                  <c:v>3.5714285714285712E-2</c:v>
                </c:pt>
                <c:pt idx="41">
                  <c:v>1.7857142857142856E-2</c:v>
                </c:pt>
                <c:pt idx="42">
                  <c:v>0</c:v>
                </c:pt>
                <c:pt idx="43">
                  <c:v>0</c:v>
                </c:pt>
                <c:pt idx="44">
                  <c:v>1.7857142857142856E-2</c:v>
                </c:pt>
                <c:pt idx="45">
                  <c:v>0</c:v>
                </c:pt>
                <c:pt idx="46">
                  <c:v>0</c:v>
                </c:pt>
                <c:pt idx="47">
                  <c:v>3.5714285714285712E-2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C5-4321-B440-82032EF5D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893872"/>
        <c:axId val="877898864"/>
      </c:scatterChart>
      <c:valAx>
        <c:axId val="87789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98864"/>
        <c:crosses val="autoZero"/>
        <c:crossBetween val="midCat"/>
      </c:valAx>
      <c:valAx>
        <c:axId val="8778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9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114300</xdr:colOff>
      <xdr:row>24</xdr:row>
      <xdr:rowOff>128587</xdr:rowOff>
    </xdr:from>
    <xdr:to>
      <xdr:col>29</xdr:col>
      <xdr:colOff>447675</xdr:colOff>
      <xdr:row>41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7EFB52-4369-4749-8F1E-848056ABA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295275</xdr:colOff>
      <xdr:row>25</xdr:row>
      <xdr:rowOff>14287</xdr:rowOff>
    </xdr:from>
    <xdr:to>
      <xdr:col>34</xdr:col>
      <xdr:colOff>295275</xdr:colOff>
      <xdr:row>42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A454F-3F71-4E87-A40A-C9BC093DE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528637</xdr:colOff>
      <xdr:row>25</xdr:row>
      <xdr:rowOff>71437</xdr:rowOff>
    </xdr:from>
    <xdr:to>
      <xdr:col>23</xdr:col>
      <xdr:colOff>500062</xdr:colOff>
      <xdr:row>42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83F34D-B1F8-4CD1-88F8-A414E34874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D009-F729-435D-9E12-8DFAF4FF340C}">
  <dimension ref="A1:K89"/>
  <sheetViews>
    <sheetView topLeftCell="A55" zoomScaleNormal="100" workbookViewId="0">
      <selection activeCell="B64" sqref="B64"/>
    </sheetView>
  </sheetViews>
  <sheetFormatPr defaultRowHeight="12.75" x14ac:dyDescent="0.2"/>
  <cols>
    <col min="1" max="1" width="32.7109375" bestFit="1" customWidth="1"/>
    <col min="2" max="2" width="8.42578125" bestFit="1" customWidth="1"/>
    <col min="3" max="3" width="7.5703125" bestFit="1" customWidth="1"/>
    <col min="4" max="4" width="5.5703125" bestFit="1" customWidth="1"/>
    <col min="5" max="5" width="7.28515625" bestFit="1" customWidth="1"/>
    <col min="6" max="6" width="6.5703125" bestFit="1" customWidth="1"/>
    <col min="7" max="7" width="8.28515625" bestFit="1" customWidth="1"/>
    <col min="8" max="8" width="6" bestFit="1" customWidth="1"/>
    <col min="9" max="9" width="15.5703125" style="2" bestFit="1" customWidth="1"/>
    <col min="10" max="10" width="11.5703125" style="2" bestFit="1" customWidth="1"/>
    <col min="11" max="11" width="9.140625" style="2"/>
  </cols>
  <sheetData>
    <row r="1" spans="1:9" x14ac:dyDescent="0.2">
      <c r="A1" s="1" t="s">
        <v>0</v>
      </c>
      <c r="I1" s="1" t="s">
        <v>101</v>
      </c>
    </row>
    <row r="2" spans="1:9" x14ac:dyDescent="0.2">
      <c r="I2" s="34" t="s">
        <v>102</v>
      </c>
    </row>
    <row r="3" spans="1:9" x14ac:dyDescent="0.2">
      <c r="A3" s="1" t="s">
        <v>1</v>
      </c>
      <c r="I3" s="35" t="s">
        <v>103</v>
      </c>
    </row>
    <row r="4" spans="1:9" x14ac:dyDescent="0.2">
      <c r="E4" t="s">
        <v>2</v>
      </c>
      <c r="F4" t="s">
        <v>3</v>
      </c>
      <c r="G4" t="s">
        <v>4</v>
      </c>
      <c r="I4" s="3" t="s">
        <v>104</v>
      </c>
    </row>
    <row r="5" spans="1:9" x14ac:dyDescent="0.2">
      <c r="A5" t="s">
        <v>5</v>
      </c>
      <c r="B5" s="3">
        <f ca="1">_xll.RiskUniform(E5,F5)</f>
        <v>46451.77545744332</v>
      </c>
      <c r="C5" t="s">
        <v>6</v>
      </c>
      <c r="E5" s="5">
        <f>0.9*G5</f>
        <v>40500</v>
      </c>
      <c r="F5" s="5">
        <f>1.1*G5</f>
        <v>49500.000000000007</v>
      </c>
      <c r="G5" s="5">
        <v>45000</v>
      </c>
      <c r="I5" s="36" t="s">
        <v>105</v>
      </c>
    </row>
    <row r="6" spans="1:9" x14ac:dyDescent="0.2">
      <c r="A6" t="s">
        <v>7</v>
      </c>
      <c r="B6" s="6">
        <v>0.8</v>
      </c>
      <c r="C6" t="s">
        <v>8</v>
      </c>
      <c r="I6" s="41" t="s">
        <v>106</v>
      </c>
    </row>
    <row r="7" spans="1:9" x14ac:dyDescent="0.2">
      <c r="B7" s="7"/>
      <c r="F7" s="4"/>
      <c r="I7"/>
    </row>
    <row r="8" spans="1:9" x14ac:dyDescent="0.2">
      <c r="A8" t="s">
        <v>9</v>
      </c>
      <c r="B8" s="8">
        <f>3/60</f>
        <v>0.05</v>
      </c>
      <c r="C8" t="s">
        <v>10</v>
      </c>
    </row>
    <row r="10" spans="1:9" x14ac:dyDescent="0.2">
      <c r="A10" s="1" t="s">
        <v>108</v>
      </c>
    </row>
    <row r="11" spans="1:9" x14ac:dyDescent="0.2">
      <c r="A11" s="1"/>
    </row>
    <row r="12" spans="1:9" x14ac:dyDescent="0.2">
      <c r="A12" t="s">
        <v>11</v>
      </c>
    </row>
    <row r="13" spans="1:9" x14ac:dyDescent="0.2">
      <c r="A13" t="s">
        <v>12</v>
      </c>
      <c r="B13" s="6">
        <v>1.6</v>
      </c>
      <c r="C13" t="s">
        <v>8</v>
      </c>
    </row>
    <row r="14" spans="1:9" x14ac:dyDescent="0.2">
      <c r="A14" t="s">
        <v>13</v>
      </c>
      <c r="B14" s="9">
        <f>B13^2</f>
        <v>2.5600000000000005</v>
      </c>
      <c r="C14" t="s">
        <v>14</v>
      </c>
    </row>
    <row r="15" spans="1:9" x14ac:dyDescent="0.2">
      <c r="A15" t="s">
        <v>15</v>
      </c>
      <c r="B15" s="6">
        <v>0.8</v>
      </c>
      <c r="C15" t="s">
        <v>8</v>
      </c>
    </row>
    <row r="16" spans="1:9" x14ac:dyDescent="0.2">
      <c r="A16" t="s">
        <v>16</v>
      </c>
      <c r="B16" s="9">
        <f>(B13+B15+B15)^2</f>
        <v>10.240000000000002</v>
      </c>
      <c r="C16" t="s">
        <v>14</v>
      </c>
    </row>
    <row r="17" spans="1:4" x14ac:dyDescent="0.2">
      <c r="A17" t="s">
        <v>17</v>
      </c>
      <c r="B17" s="9">
        <f>B16-B14</f>
        <v>7.6800000000000015</v>
      </c>
      <c r="C17" t="s">
        <v>14</v>
      </c>
    </row>
    <row r="19" spans="1:4" x14ac:dyDescent="0.2">
      <c r="A19" t="s">
        <v>18</v>
      </c>
      <c r="B19" s="10">
        <f ca="1">ROUND(B17*B5,0)</f>
        <v>356750</v>
      </c>
      <c r="C19" t="s">
        <v>19</v>
      </c>
    </row>
    <row r="20" spans="1:4" x14ac:dyDescent="0.2">
      <c r="A20" s="1"/>
    </row>
    <row r="21" spans="1:4" x14ac:dyDescent="0.2">
      <c r="A21" t="s">
        <v>20</v>
      </c>
      <c r="B21" s="6">
        <v>1E-3</v>
      </c>
      <c r="C21" t="s">
        <v>21</v>
      </c>
    </row>
    <row r="22" spans="1:4" x14ac:dyDescent="0.2">
      <c r="A22" t="s">
        <v>22</v>
      </c>
      <c r="B22" s="11">
        <f ca="1">B5*B21</f>
        <v>46.451775457443318</v>
      </c>
      <c r="C22" t="s">
        <v>6</v>
      </c>
    </row>
    <row r="23" spans="1:4" x14ac:dyDescent="0.2">
      <c r="A23" t="s">
        <v>23</v>
      </c>
      <c r="B23" s="6">
        <v>3723</v>
      </c>
    </row>
    <row r="24" spans="1:4" x14ac:dyDescent="0.2">
      <c r="A24" t="s">
        <v>24</v>
      </c>
      <c r="B24" s="11">
        <f ca="1">B23/B5</f>
        <v>8.014763619553826E-2</v>
      </c>
      <c r="C24" t="s">
        <v>14</v>
      </c>
    </row>
    <row r="26" spans="1:4" x14ac:dyDescent="0.2">
      <c r="A26" t="s">
        <v>25</v>
      </c>
      <c r="B26" s="6">
        <v>0</v>
      </c>
      <c r="C26" t="s">
        <v>11</v>
      </c>
    </row>
    <row r="27" spans="1:4" x14ac:dyDescent="0.2">
      <c r="A27" t="s">
        <v>26</v>
      </c>
      <c r="B27" s="12">
        <f ca="1">_xll.RiskBinomial(B23,B26)</f>
        <v>0</v>
      </c>
    </row>
    <row r="29" spans="1:4" x14ac:dyDescent="0.2">
      <c r="A29" t="s">
        <v>27</v>
      </c>
    </row>
    <row r="30" spans="1:4" x14ac:dyDescent="0.2">
      <c r="A30" t="s">
        <v>12</v>
      </c>
      <c r="B30" s="6">
        <v>0.8</v>
      </c>
      <c r="C30" t="s">
        <v>8</v>
      </c>
    </row>
    <row r="31" spans="1:4" x14ac:dyDescent="0.2">
      <c r="A31" t="s">
        <v>13</v>
      </c>
      <c r="B31" s="9">
        <f>B30^2</f>
        <v>0.64000000000000012</v>
      </c>
      <c r="C31" t="s">
        <v>14</v>
      </c>
    </row>
    <row r="32" spans="1:4" x14ac:dyDescent="0.2">
      <c r="A32" t="s">
        <v>15</v>
      </c>
      <c r="B32" s="6">
        <v>0.8</v>
      </c>
      <c r="C32" t="s">
        <v>8</v>
      </c>
      <c r="D32" s="2"/>
    </row>
    <row r="33" spans="1:5" x14ac:dyDescent="0.2">
      <c r="A33" t="s">
        <v>16</v>
      </c>
      <c r="B33" s="9">
        <f>(B30+B32+B32)^2</f>
        <v>5.7600000000000016</v>
      </c>
      <c r="C33" t="s">
        <v>14</v>
      </c>
      <c r="D33" s="7"/>
    </row>
    <row r="34" spans="1:5" x14ac:dyDescent="0.2">
      <c r="A34" t="s">
        <v>17</v>
      </c>
      <c r="B34" s="9">
        <f>B33-B31</f>
        <v>5.120000000000001</v>
      </c>
      <c r="C34" t="s">
        <v>14</v>
      </c>
    </row>
    <row r="35" spans="1:5" x14ac:dyDescent="0.2">
      <c r="C35" s="13"/>
      <c r="D35" s="13"/>
      <c r="E35" s="13"/>
    </row>
    <row r="36" spans="1:5" x14ac:dyDescent="0.2">
      <c r="A36" t="s">
        <v>18</v>
      </c>
      <c r="B36" s="10">
        <f ca="1">ROUND(B34*B5,0)</f>
        <v>237833</v>
      </c>
      <c r="C36" t="s">
        <v>19</v>
      </c>
    </row>
    <row r="37" spans="1:5" x14ac:dyDescent="0.2">
      <c r="A37" s="1"/>
    </row>
    <row r="38" spans="1:5" x14ac:dyDescent="0.2">
      <c r="A38" t="s">
        <v>20</v>
      </c>
      <c r="B38" s="6">
        <v>1E-3</v>
      </c>
      <c r="C38" t="s">
        <v>21</v>
      </c>
    </row>
    <row r="39" spans="1:5" x14ac:dyDescent="0.2">
      <c r="A39" t="s">
        <v>22</v>
      </c>
      <c r="B39" s="11">
        <f>B26*B38</f>
        <v>0</v>
      </c>
      <c r="C39" t="s">
        <v>6</v>
      </c>
    </row>
    <row r="40" spans="1:5" x14ac:dyDescent="0.2">
      <c r="A40" t="s">
        <v>23</v>
      </c>
      <c r="B40" s="6">
        <v>3726</v>
      </c>
    </row>
    <row r="41" spans="1:5" x14ac:dyDescent="0.2">
      <c r="A41" t="s">
        <v>24</v>
      </c>
      <c r="B41" s="11">
        <f ca="1">B40/B5</f>
        <v>8.0212219302867455E-2</v>
      </c>
      <c r="C41" t="s">
        <v>14</v>
      </c>
    </row>
    <row r="43" spans="1:5" x14ac:dyDescent="0.2">
      <c r="A43" t="s">
        <v>25</v>
      </c>
      <c r="B43" s="6">
        <v>0</v>
      </c>
      <c r="C43" t="s">
        <v>27</v>
      </c>
    </row>
    <row r="44" spans="1:5" x14ac:dyDescent="0.2">
      <c r="A44" t="s">
        <v>26</v>
      </c>
      <c r="B44" s="12">
        <f ca="1">_xll.RiskBinomial(B40,B43)</f>
        <v>0</v>
      </c>
    </row>
    <row r="46" spans="1:5" x14ac:dyDescent="0.2">
      <c r="A46" t="s">
        <v>28</v>
      </c>
    </row>
    <row r="47" spans="1:5" x14ac:dyDescent="0.2">
      <c r="A47" t="s">
        <v>12</v>
      </c>
      <c r="B47" s="6">
        <v>0.8</v>
      </c>
      <c r="C47" t="s">
        <v>8</v>
      </c>
    </row>
    <row r="48" spans="1:5" x14ac:dyDescent="0.2">
      <c r="A48" t="s">
        <v>13</v>
      </c>
      <c r="B48" s="9">
        <f>B47^2</f>
        <v>0.64000000000000012</v>
      </c>
      <c r="C48" t="s">
        <v>14</v>
      </c>
    </row>
    <row r="49" spans="1:5" x14ac:dyDescent="0.2">
      <c r="C49" s="13"/>
      <c r="D49" s="13"/>
      <c r="E49" s="13"/>
    </row>
    <row r="50" spans="1:5" x14ac:dyDescent="0.2">
      <c r="A50" t="s">
        <v>29</v>
      </c>
      <c r="B50" s="10">
        <f ca="1">ROUND(B48*B5,0)</f>
        <v>29729</v>
      </c>
      <c r="C50" t="s">
        <v>19</v>
      </c>
    </row>
    <row r="51" spans="1:5" x14ac:dyDescent="0.2">
      <c r="A51" s="1"/>
    </row>
    <row r="52" spans="1:5" x14ac:dyDescent="0.2">
      <c r="A52" t="s">
        <v>20</v>
      </c>
      <c r="B52" s="6">
        <v>1E-3</v>
      </c>
      <c r="C52" t="s">
        <v>21</v>
      </c>
    </row>
    <row r="53" spans="1:5" x14ac:dyDescent="0.2">
      <c r="A53" t="s">
        <v>22</v>
      </c>
      <c r="B53" s="11">
        <f>B43*B52</f>
        <v>0</v>
      </c>
      <c r="C53" t="s">
        <v>6</v>
      </c>
    </row>
    <row r="54" spans="1:5" x14ac:dyDescent="0.2">
      <c r="A54" t="s">
        <v>23</v>
      </c>
      <c r="B54" s="6">
        <v>3532</v>
      </c>
    </row>
    <row r="55" spans="1:5" x14ac:dyDescent="0.2">
      <c r="A55" t="s">
        <v>24</v>
      </c>
      <c r="B55" s="11">
        <f ca="1">B54/B5</f>
        <v>7.6035845028912474E-2</v>
      </c>
      <c r="C55" t="s">
        <v>14</v>
      </c>
    </row>
    <row r="57" spans="1:5" x14ac:dyDescent="0.2">
      <c r="A57" t="s">
        <v>25</v>
      </c>
      <c r="B57" s="6">
        <v>1E-3</v>
      </c>
      <c r="C57" t="s">
        <v>11</v>
      </c>
    </row>
    <row r="58" spans="1:5" x14ac:dyDescent="0.2">
      <c r="A58" t="s">
        <v>26</v>
      </c>
      <c r="B58" s="39">
        <f ca="1">_xll.RiskOutput()+_xll.RiskBinomial(B54,B57)</f>
        <v>2</v>
      </c>
    </row>
    <row r="59" spans="1:5" x14ac:dyDescent="0.2">
      <c r="A59" t="s">
        <v>30</v>
      </c>
      <c r="B59" s="40">
        <f ca="1">_xll.RiskOutput()+IF(B58=0,0,1)</f>
        <v>1</v>
      </c>
      <c r="C59" s="2"/>
      <c r="D59" s="2"/>
      <c r="E59" s="2"/>
    </row>
    <row r="60" spans="1:5" x14ac:dyDescent="0.2">
      <c r="A60" t="s">
        <v>31</v>
      </c>
      <c r="B60" s="10">
        <f>B54+B40+B23</f>
        <v>10981</v>
      </c>
      <c r="C60" s="2"/>
      <c r="D60" s="2"/>
      <c r="E60" s="2"/>
    </row>
    <row r="61" spans="1:5" x14ac:dyDescent="0.2">
      <c r="A61" t="s">
        <v>32</v>
      </c>
      <c r="B61" s="14">
        <f ca="1">B55+B41+B24</f>
        <v>0.23639570052731818</v>
      </c>
      <c r="C61" s="2"/>
      <c r="D61" s="2"/>
      <c r="E61" s="2"/>
    </row>
    <row r="63" spans="1:5" x14ac:dyDescent="0.2">
      <c r="A63" t="s">
        <v>33</v>
      </c>
      <c r="B63" s="39">
        <f>_xll.RiskOutput()+B8*B60</f>
        <v>549.05000000000007</v>
      </c>
      <c r="C63" t="s">
        <v>10</v>
      </c>
    </row>
    <row r="65" spans="1:5" x14ac:dyDescent="0.2">
      <c r="A65" s="1" t="s">
        <v>107</v>
      </c>
    </row>
    <row r="66" spans="1:5" x14ac:dyDescent="0.2">
      <c r="A66" s="1"/>
    </row>
    <row r="67" spans="1:5" x14ac:dyDescent="0.2">
      <c r="A67" t="s">
        <v>34</v>
      </c>
      <c r="B67" s="6">
        <v>1.2</v>
      </c>
      <c r="C67" t="s">
        <v>8</v>
      </c>
    </row>
    <row r="68" spans="1:5" x14ac:dyDescent="0.2">
      <c r="A68" t="s">
        <v>35</v>
      </c>
      <c r="B68" s="6">
        <v>2</v>
      </c>
      <c r="C68" t="s">
        <v>19</v>
      </c>
    </row>
    <row r="69" spans="1:5" x14ac:dyDescent="0.2">
      <c r="A69" t="s">
        <v>36</v>
      </c>
      <c r="B69" s="9">
        <f>(2*B67)*B68</f>
        <v>4.8</v>
      </c>
      <c r="C69" t="s">
        <v>8</v>
      </c>
    </row>
    <row r="71" spans="1:5" x14ac:dyDescent="0.2">
      <c r="A71" t="s">
        <v>37</v>
      </c>
      <c r="B71" s="6">
        <v>1E-3</v>
      </c>
      <c r="C71" t="s">
        <v>38</v>
      </c>
    </row>
    <row r="72" spans="1:5" x14ac:dyDescent="0.2">
      <c r="A72" t="s">
        <v>39</v>
      </c>
      <c r="B72" s="11">
        <f>B71*G5</f>
        <v>45</v>
      </c>
      <c r="C72" t="s">
        <v>6</v>
      </c>
    </row>
    <row r="74" spans="1:5" x14ac:dyDescent="0.2">
      <c r="A74" t="s">
        <v>40</v>
      </c>
      <c r="B74" s="6">
        <v>60</v>
      </c>
    </row>
    <row r="75" spans="1:5" x14ac:dyDescent="0.2">
      <c r="A75" t="s">
        <v>41</v>
      </c>
      <c r="B75" s="15">
        <f>B74/B72</f>
        <v>1.3333333333333333</v>
      </c>
      <c r="C75" t="s">
        <v>14</v>
      </c>
    </row>
    <row r="76" spans="1:5" x14ac:dyDescent="0.2">
      <c r="A76" t="s">
        <v>42</v>
      </c>
      <c r="B76" s="15">
        <f>B75/B69</f>
        <v>0.27777777777777779</v>
      </c>
      <c r="C76" t="s">
        <v>8</v>
      </c>
      <c r="D76" s="16">
        <f>B76*1000</f>
        <v>277.77777777777777</v>
      </c>
      <c r="E76" t="s">
        <v>43</v>
      </c>
    </row>
    <row r="78" spans="1:5" x14ac:dyDescent="0.2">
      <c r="A78" t="s">
        <v>44</v>
      </c>
      <c r="B78" s="6">
        <v>110</v>
      </c>
      <c r="C78" t="s">
        <v>19</v>
      </c>
    </row>
    <row r="79" spans="1:5" x14ac:dyDescent="0.2">
      <c r="A79" t="s">
        <v>45</v>
      </c>
      <c r="B79" s="9">
        <f>B78*(B67*2)</f>
        <v>264</v>
      </c>
      <c r="C79" t="s">
        <v>8</v>
      </c>
    </row>
    <row r="80" spans="1:5" x14ac:dyDescent="0.2">
      <c r="A80" t="s">
        <v>46</v>
      </c>
      <c r="B80" s="17">
        <f>B75/B79</f>
        <v>5.0505050505050501E-3</v>
      </c>
      <c r="C80" t="s">
        <v>8</v>
      </c>
      <c r="D80" s="16">
        <f>B80*1000</f>
        <v>5.0505050505050502</v>
      </c>
      <c r="E80" t="s">
        <v>43</v>
      </c>
    </row>
    <row r="81" spans="1:7" x14ac:dyDescent="0.2">
      <c r="A81" t="s">
        <v>47</v>
      </c>
      <c r="B81" s="17">
        <f>B78*B80</f>
        <v>0.55555555555555547</v>
      </c>
      <c r="C81" t="s">
        <v>8</v>
      </c>
      <c r="D81" s="18">
        <f>B81/(B68*B67)</f>
        <v>0.23148148148148145</v>
      </c>
    </row>
    <row r="83" spans="1:7" x14ac:dyDescent="0.2">
      <c r="A83" t="s">
        <v>48</v>
      </c>
      <c r="B83" s="15">
        <f>B80*B78*(B67*2)</f>
        <v>1.333333333333333</v>
      </c>
      <c r="C83" t="s">
        <v>14</v>
      </c>
    </row>
    <row r="84" spans="1:7" x14ac:dyDescent="0.2">
      <c r="A84" t="s">
        <v>49</v>
      </c>
      <c r="B84" s="16">
        <f>(B67*B68)*F84</f>
        <v>510.63829787234039</v>
      </c>
      <c r="D84" s="19">
        <f>1/4.7</f>
        <v>0.21276595744680851</v>
      </c>
      <c r="E84" s="20" t="s">
        <v>50</v>
      </c>
      <c r="F84" s="19">
        <f>1000*D84</f>
        <v>212.7659574468085</v>
      </c>
      <c r="G84" t="s">
        <v>51</v>
      </c>
    </row>
    <row r="85" spans="1:7" x14ac:dyDescent="0.2">
      <c r="A85" t="s">
        <v>52</v>
      </c>
      <c r="B85" s="10">
        <f>ROUND(B78*B84,0)</f>
        <v>56170</v>
      </c>
    </row>
    <row r="86" spans="1:7" x14ac:dyDescent="0.2">
      <c r="A86" t="s">
        <v>53</v>
      </c>
      <c r="B86" s="38">
        <f ca="1">_xll.RiskOutput()+_xll.RiskBinomial(B85,B71)</f>
        <v>51</v>
      </c>
      <c r="C86" s="7"/>
      <c r="D86" s="7"/>
      <c r="E86" s="7"/>
    </row>
    <row r="87" spans="1:7" x14ac:dyDescent="0.2">
      <c r="A87" t="s">
        <v>30</v>
      </c>
      <c r="B87" s="37">
        <f ca="1">_xll.RiskOutput()+IF(B86=0,0,1)</f>
        <v>1</v>
      </c>
    </row>
    <row r="89" spans="1:7" x14ac:dyDescent="0.2">
      <c r="A89" t="s">
        <v>54</v>
      </c>
      <c r="B89" s="37">
        <f>_xll.RiskOutput()+B85*B8</f>
        <v>2808.5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3929-81ED-4368-BDAA-6BFE053F5377}">
  <dimension ref="A1:K49"/>
  <sheetViews>
    <sheetView tabSelected="1" zoomScaleNormal="100" workbookViewId="0">
      <selection activeCell="I20" sqref="I20"/>
    </sheetView>
  </sheetViews>
  <sheetFormatPr defaultRowHeight="12.75" x14ac:dyDescent="0.2"/>
  <cols>
    <col min="1" max="1" width="32.7109375" bestFit="1" customWidth="1"/>
    <col min="2" max="2" width="17.5703125" bestFit="1" customWidth="1"/>
    <col min="3" max="3" width="7.5703125" bestFit="1" customWidth="1"/>
    <col min="4" max="4" width="13.7109375" bestFit="1" customWidth="1"/>
    <col min="5" max="5" width="9.85546875" bestFit="1" customWidth="1"/>
    <col min="6" max="6" width="6.5703125" bestFit="1" customWidth="1"/>
    <col min="7" max="7" width="8.28515625" bestFit="1" customWidth="1"/>
    <col min="8" max="8" width="6" bestFit="1" customWidth="1"/>
    <col min="9" max="9" width="15.5703125" style="2" bestFit="1" customWidth="1"/>
    <col min="10" max="10" width="11.5703125" style="2" bestFit="1" customWidth="1"/>
    <col min="11" max="11" width="9.140625" style="2"/>
  </cols>
  <sheetData>
    <row r="1" spans="1:11" x14ac:dyDescent="0.2">
      <c r="A1" s="1" t="s">
        <v>55</v>
      </c>
      <c r="I1" s="1" t="s">
        <v>101</v>
      </c>
    </row>
    <row r="2" spans="1:11" x14ac:dyDescent="0.2">
      <c r="I2" s="34" t="s">
        <v>102</v>
      </c>
    </row>
    <row r="3" spans="1:11" x14ac:dyDescent="0.2">
      <c r="A3" s="1" t="s">
        <v>1</v>
      </c>
      <c r="I3" s="35" t="s">
        <v>103</v>
      </c>
    </row>
    <row r="4" spans="1:11" x14ac:dyDescent="0.2">
      <c r="E4" t="s">
        <v>2</v>
      </c>
      <c r="F4" t="s">
        <v>3</v>
      </c>
      <c r="G4" t="s">
        <v>4</v>
      </c>
      <c r="I4" s="3" t="s">
        <v>104</v>
      </c>
    </row>
    <row r="5" spans="1:11" x14ac:dyDescent="0.2">
      <c r="A5" t="s">
        <v>5</v>
      </c>
      <c r="B5" s="3">
        <f ca="1">_xll.RiskUniform(E5,F5)</f>
        <v>45993.97559585228</v>
      </c>
      <c r="C5" t="s">
        <v>6</v>
      </c>
      <c r="E5" s="5">
        <f>0.9*G5</f>
        <v>40500</v>
      </c>
      <c r="F5" s="5">
        <f>1.1*G5</f>
        <v>49500.000000000007</v>
      </c>
      <c r="G5" s="5">
        <v>45000</v>
      </c>
      <c r="I5" s="36" t="s">
        <v>105</v>
      </c>
    </row>
    <row r="6" spans="1:11" x14ac:dyDescent="0.2">
      <c r="A6" t="s">
        <v>7</v>
      </c>
      <c r="B6" s="6">
        <v>3.2</v>
      </c>
      <c r="C6" t="s">
        <v>8</v>
      </c>
      <c r="I6" s="41" t="s">
        <v>106</v>
      </c>
    </row>
    <row r="7" spans="1:11" x14ac:dyDescent="0.2">
      <c r="B7" s="7"/>
      <c r="F7" s="4"/>
    </row>
    <row r="8" spans="1:11" x14ac:dyDescent="0.2">
      <c r="A8" t="s">
        <v>9</v>
      </c>
      <c r="B8" s="8">
        <f>3/60</f>
        <v>0.05</v>
      </c>
      <c r="C8" t="s">
        <v>10</v>
      </c>
    </row>
    <row r="9" spans="1:11" x14ac:dyDescent="0.2">
      <c r="A9" s="1"/>
    </row>
    <row r="10" spans="1:11" x14ac:dyDescent="0.2">
      <c r="A10" s="1" t="s">
        <v>56</v>
      </c>
      <c r="C10" t="s">
        <v>23</v>
      </c>
      <c r="D10" t="s">
        <v>57</v>
      </c>
      <c r="E10" t="s">
        <v>30</v>
      </c>
    </row>
    <row r="11" spans="1:11" x14ac:dyDescent="0.2">
      <c r="B11" t="s">
        <v>58</v>
      </c>
      <c r="C11" s="21">
        <v>3723</v>
      </c>
      <c r="D11" s="22">
        <f ca="1">_xll.RiskBinomial(C11,C23)</f>
        <v>4</v>
      </c>
      <c r="E11" s="23">
        <f ca="1">IF(D11=0,0,1)</f>
        <v>1</v>
      </c>
      <c r="F11" s="4"/>
      <c r="G11" s="24"/>
    </row>
    <row r="12" spans="1:11" x14ac:dyDescent="0.2">
      <c r="B12" t="s">
        <v>59</v>
      </c>
      <c r="C12" s="21">
        <v>3723</v>
      </c>
      <c r="D12" s="22">
        <f ca="1">IF(E11=0,#N/A,_xll.RiskBinomial(C12,C23))</f>
        <v>3</v>
      </c>
      <c r="E12" s="23">
        <f ca="1">IF(ISERROR(D12),"#N/A",IF(D12=0,0,1))</f>
        <v>1</v>
      </c>
    </row>
    <row r="13" spans="1:11" x14ac:dyDescent="0.2">
      <c r="B13" t="s">
        <v>60</v>
      </c>
      <c r="C13" s="21">
        <v>3723</v>
      </c>
      <c r="D13" s="22" t="e">
        <f ca="1">IF(E11=0,_xll.RiskBinomial(C13,C23),#N/A)</f>
        <v>#N/A</v>
      </c>
      <c r="E13" s="23" t="str">
        <f t="shared" ref="E13:E14" ca="1" si="0">IF(ISERROR(D13),"#N/A",IF(D13=0,0,1))</f>
        <v>#N/A</v>
      </c>
    </row>
    <row r="14" spans="1:11" x14ac:dyDescent="0.2">
      <c r="B14" t="s">
        <v>61</v>
      </c>
      <c r="C14" s="21">
        <v>3723</v>
      </c>
      <c r="D14" s="22" t="e">
        <f ca="1">IF(E13=0,_xll.RiskBinomial(C14,C23),#N/A)</f>
        <v>#N/A</v>
      </c>
      <c r="E14" s="23" t="str">
        <f t="shared" ca="1" si="0"/>
        <v>#N/A</v>
      </c>
      <c r="F14" s="4"/>
    </row>
    <row r="15" spans="1:11" x14ac:dyDescent="0.2">
      <c r="F15" s="4"/>
    </row>
    <row r="16" spans="1:11" s="25" customFormat="1" x14ac:dyDescent="0.2">
      <c r="E16" t="s">
        <v>62</v>
      </c>
      <c r="F16" s="26"/>
      <c r="I16" s="27"/>
      <c r="J16" s="27"/>
      <c r="K16" s="27"/>
    </row>
    <row r="17" spans="1:5" x14ac:dyDescent="0.2">
      <c r="D17" t="s">
        <v>63</v>
      </c>
      <c r="E17" s="37">
        <f ca="1">_xll.RiskOutput()+IF(SUM(E11:E12)=2,1,0)</f>
        <v>1</v>
      </c>
    </row>
    <row r="18" spans="1:5" x14ac:dyDescent="0.2">
      <c r="D18" t="s">
        <v>64</v>
      </c>
      <c r="E18" s="37">
        <f ca="1">_xll.RiskOutput()+IF(OR(E11=0,E12=0),1,0)</f>
        <v>0</v>
      </c>
    </row>
    <row r="19" spans="1:5" x14ac:dyDescent="0.2">
      <c r="D19" t="s">
        <v>65</v>
      </c>
      <c r="E19" s="38">
        <f ca="1">_xll.RiskOutput()+IF(OR(E12=0,E13=1),2*C13,3*C13)</f>
        <v>11169</v>
      </c>
    </row>
    <row r="20" spans="1:5" x14ac:dyDescent="0.2">
      <c r="D20" t="s">
        <v>66</v>
      </c>
      <c r="E20" s="37">
        <f ca="1">_xll.RiskOutput()+IF(OR(E12=1,E13=0),3*0.08,2*0.08)</f>
        <v>0.24</v>
      </c>
    </row>
    <row r="21" spans="1:5" x14ac:dyDescent="0.2">
      <c r="D21" t="s">
        <v>67</v>
      </c>
      <c r="E21" s="37">
        <f ca="1">_xll.RiskOutput()+E19*B8</f>
        <v>558.45000000000005</v>
      </c>
    </row>
    <row r="23" spans="1:5" x14ac:dyDescent="0.2">
      <c r="B23" t="s">
        <v>68</v>
      </c>
      <c r="C23" s="21">
        <v>1E-3</v>
      </c>
    </row>
    <row r="25" spans="1:5" x14ac:dyDescent="0.2">
      <c r="A25" s="1" t="s">
        <v>107</v>
      </c>
    </row>
    <row r="26" spans="1:5" x14ac:dyDescent="0.2">
      <c r="A26" s="1"/>
    </row>
    <row r="27" spans="1:5" x14ac:dyDescent="0.2">
      <c r="A27" t="s">
        <v>34</v>
      </c>
      <c r="B27" s="6">
        <v>2.4</v>
      </c>
      <c r="C27" t="s">
        <v>8</v>
      </c>
    </row>
    <row r="28" spans="1:5" x14ac:dyDescent="0.2">
      <c r="A28" t="s">
        <v>35</v>
      </c>
      <c r="B28" s="6">
        <v>2</v>
      </c>
      <c r="C28" t="s">
        <v>19</v>
      </c>
    </row>
    <row r="29" spans="1:5" x14ac:dyDescent="0.2">
      <c r="A29" t="s">
        <v>36</v>
      </c>
      <c r="B29" s="9">
        <f>(2*B27)*B28</f>
        <v>9.6</v>
      </c>
      <c r="C29" t="s">
        <v>8</v>
      </c>
    </row>
    <row r="31" spans="1:5" x14ac:dyDescent="0.2">
      <c r="A31" t="s">
        <v>37</v>
      </c>
      <c r="B31" s="6">
        <v>1E-3</v>
      </c>
      <c r="C31" t="s">
        <v>38</v>
      </c>
    </row>
    <row r="32" spans="1:5" x14ac:dyDescent="0.2">
      <c r="A32" t="s">
        <v>39</v>
      </c>
      <c r="B32" s="11">
        <f>B31*G5</f>
        <v>45</v>
      </c>
      <c r="C32" t="s">
        <v>6</v>
      </c>
    </row>
    <row r="34" spans="1:7" x14ac:dyDescent="0.2">
      <c r="A34" t="s">
        <v>40</v>
      </c>
      <c r="B34" s="6">
        <v>60</v>
      </c>
    </row>
    <row r="35" spans="1:7" x14ac:dyDescent="0.2">
      <c r="A35" t="s">
        <v>41</v>
      </c>
      <c r="B35" s="15">
        <f>B34/B32</f>
        <v>1.3333333333333333</v>
      </c>
      <c r="C35" t="s">
        <v>14</v>
      </c>
    </row>
    <row r="36" spans="1:7" x14ac:dyDescent="0.2">
      <c r="A36" t="s">
        <v>42</v>
      </c>
      <c r="B36" s="15">
        <f>B35/B29</f>
        <v>0.1388888888888889</v>
      </c>
      <c r="C36" t="s">
        <v>8</v>
      </c>
      <c r="D36" s="16">
        <f>B36*1000</f>
        <v>138.88888888888889</v>
      </c>
      <c r="E36" t="s">
        <v>43</v>
      </c>
    </row>
    <row r="38" spans="1:7" x14ac:dyDescent="0.2">
      <c r="A38" t="s">
        <v>44</v>
      </c>
      <c r="B38" s="6">
        <v>55</v>
      </c>
      <c r="C38" t="s">
        <v>19</v>
      </c>
    </row>
    <row r="39" spans="1:7" x14ac:dyDescent="0.2">
      <c r="A39" t="s">
        <v>45</v>
      </c>
      <c r="B39" s="9">
        <f>B38*(B27*2)</f>
        <v>264</v>
      </c>
      <c r="C39" t="s">
        <v>8</v>
      </c>
    </row>
    <row r="40" spans="1:7" x14ac:dyDescent="0.2">
      <c r="A40" t="s">
        <v>46</v>
      </c>
      <c r="B40" s="17">
        <f>B35/B39</f>
        <v>5.0505050505050501E-3</v>
      </c>
      <c r="C40" t="s">
        <v>8</v>
      </c>
      <c r="D40" s="16">
        <f>B40*1000</f>
        <v>5.0505050505050502</v>
      </c>
      <c r="E40" t="s">
        <v>43</v>
      </c>
    </row>
    <row r="41" spans="1:7" x14ac:dyDescent="0.2">
      <c r="A41" t="s">
        <v>47</v>
      </c>
      <c r="B41" s="17">
        <f>B38*B40</f>
        <v>0.27777777777777773</v>
      </c>
      <c r="C41" t="s">
        <v>8</v>
      </c>
      <c r="D41" s="18">
        <f>B41/(B28*B27)</f>
        <v>5.7870370370370364E-2</v>
      </c>
    </row>
    <row r="43" spans="1:7" x14ac:dyDescent="0.2">
      <c r="A43" t="s">
        <v>48</v>
      </c>
      <c r="B43" s="15">
        <f>B40*B38*(B27*2)</f>
        <v>1.333333333333333</v>
      </c>
      <c r="C43" t="s">
        <v>14</v>
      </c>
    </row>
    <row r="44" spans="1:7" x14ac:dyDescent="0.2">
      <c r="A44" t="s">
        <v>49</v>
      </c>
      <c r="B44" s="16">
        <f>(B27*B28)*F44</f>
        <v>1021.2765957446808</v>
      </c>
      <c r="D44" s="28">
        <f>1/4.7</f>
        <v>0.21276595744680851</v>
      </c>
      <c r="E44" s="2" t="s">
        <v>50</v>
      </c>
      <c r="F44" s="28">
        <f>1000*D44</f>
        <v>212.7659574468085</v>
      </c>
      <c r="G44" s="2" t="s">
        <v>51</v>
      </c>
    </row>
    <row r="45" spans="1:7" x14ac:dyDescent="0.2">
      <c r="A45" t="s">
        <v>52</v>
      </c>
      <c r="B45" s="10">
        <f>ROUND(B38*B44,0)</f>
        <v>56170</v>
      </c>
    </row>
    <row r="46" spans="1:7" x14ac:dyDescent="0.2">
      <c r="A46" t="s">
        <v>53</v>
      </c>
      <c r="B46" s="38">
        <f ca="1">_xll.RiskOutput()+_xll.RiskBinomial(B45,B31)</f>
        <v>65</v>
      </c>
      <c r="C46" s="7"/>
      <c r="D46" s="7"/>
      <c r="E46" s="7"/>
    </row>
    <row r="47" spans="1:7" x14ac:dyDescent="0.2">
      <c r="A47" t="s">
        <v>30</v>
      </c>
      <c r="B47" s="37">
        <f ca="1">_xll.RiskOutput()+IF(B46=0,0,1)</f>
        <v>1</v>
      </c>
    </row>
    <row r="49" spans="1:2" x14ac:dyDescent="0.2">
      <c r="A49" t="s">
        <v>54</v>
      </c>
      <c r="B49" s="37">
        <f>_xll.RiskOutput()+B45*B8</f>
        <v>2808.5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21C8-523F-43F8-BF16-CA62B7B16989}">
  <dimension ref="A1:AI57"/>
  <sheetViews>
    <sheetView workbookViewId="0"/>
  </sheetViews>
  <sheetFormatPr defaultRowHeight="12.75" x14ac:dyDescent="0.2"/>
  <cols>
    <col min="1" max="1" width="10.5703125" bestFit="1" customWidth="1"/>
    <col min="4" max="4" width="8.85546875" bestFit="1" customWidth="1"/>
    <col min="5" max="6" width="6.140625" bestFit="1" customWidth="1"/>
    <col min="7" max="7" width="6.7109375" bestFit="1" customWidth="1"/>
    <col min="8" max="8" width="9.28515625" bestFit="1" customWidth="1"/>
    <col min="9" max="9" width="11.42578125" style="2" bestFit="1" customWidth="1"/>
    <col min="10" max="13" width="7.42578125" customWidth="1"/>
    <col min="14" max="14" width="8.42578125" style="18" bestFit="1" customWidth="1"/>
    <col min="15" max="15" width="13.140625" style="18" bestFit="1" customWidth="1"/>
    <col min="17" max="17" width="8.140625" bestFit="1" customWidth="1"/>
    <col min="18" max="18" width="4.7109375" bestFit="1" customWidth="1"/>
    <col min="19" max="19" width="7.140625" bestFit="1" customWidth="1"/>
    <col min="20" max="20" width="7" bestFit="1" customWidth="1"/>
    <col min="21" max="21" width="4.7109375" bestFit="1" customWidth="1"/>
    <col min="22" max="22" width="5.85546875" bestFit="1" customWidth="1"/>
    <col min="24" max="24" width="8" bestFit="1" customWidth="1"/>
    <col min="25" max="25" width="7" bestFit="1" customWidth="1"/>
    <col min="27" max="29" width="6.5703125" bestFit="1" customWidth="1"/>
    <col min="31" max="31" width="4.7109375" bestFit="1" customWidth="1"/>
    <col min="32" max="32" width="7.140625" bestFit="1" customWidth="1"/>
    <col min="33" max="33" width="7" bestFit="1" customWidth="1"/>
    <col min="34" max="34" width="4.7109375" bestFit="1" customWidth="1"/>
    <col min="35" max="35" width="5.85546875" bestFit="1" customWidth="1"/>
  </cols>
  <sheetData>
    <row r="1" spans="1:35" x14ac:dyDescent="0.2">
      <c r="A1" s="1" t="s">
        <v>107</v>
      </c>
      <c r="D1" t="s">
        <v>69</v>
      </c>
      <c r="E1" s="29" t="s">
        <v>70</v>
      </c>
      <c r="F1" s="29" t="s">
        <v>71</v>
      </c>
      <c r="G1" s="29" t="s">
        <v>72</v>
      </c>
      <c r="H1" s="29" t="s">
        <v>73</v>
      </c>
      <c r="I1" s="2" t="s">
        <v>74</v>
      </c>
      <c r="O1" s="18" t="s">
        <v>74</v>
      </c>
      <c r="R1" t="s">
        <v>75</v>
      </c>
      <c r="S1" t="s">
        <v>76</v>
      </c>
      <c r="T1" s="30" t="s">
        <v>77</v>
      </c>
      <c r="U1" t="s">
        <v>78</v>
      </c>
      <c r="V1" t="s">
        <v>79</v>
      </c>
      <c r="Y1" s="2"/>
      <c r="Z1" s="2"/>
      <c r="AA1" s="2"/>
      <c r="AB1" s="2"/>
      <c r="AC1" s="2"/>
      <c r="AE1" t="s">
        <v>75</v>
      </c>
      <c r="AF1" t="s">
        <v>76</v>
      </c>
      <c r="AG1" s="30" t="s">
        <v>77</v>
      </c>
      <c r="AH1" t="s">
        <v>78</v>
      </c>
      <c r="AI1" t="s">
        <v>79</v>
      </c>
    </row>
    <row r="2" spans="1:35" x14ac:dyDescent="0.2">
      <c r="D2">
        <v>1</v>
      </c>
      <c r="E2" s="29">
        <f t="shared" ref="E2:E57" ca="1" si="0">H2*COS(G2)</f>
        <v>181.09354772093269</v>
      </c>
      <c r="F2" s="29">
        <f t="shared" ref="F2:F57" ca="1" si="1">H2*SIN(G2)</f>
        <v>406.45220672780084</v>
      </c>
      <c r="G2" s="29">
        <f ca="1">_xll.RiskUniform($L$2,$M$2)</f>
        <v>95.399431319016188</v>
      </c>
      <c r="H2" s="29">
        <f ca="1">_xll.RiskUniform($L$3,$M$3)</f>
        <v>444.96996458193968</v>
      </c>
      <c r="I2" s="2">
        <f ca="1">SQRT(E2^2+F2^2)</f>
        <v>444.96996458193973</v>
      </c>
      <c r="K2" t="s">
        <v>80</v>
      </c>
      <c r="L2">
        <v>0</v>
      </c>
      <c r="M2">
        <v>360</v>
      </c>
      <c r="O2" s="18">
        <v>2.1431233320154064</v>
      </c>
      <c r="R2">
        <v>50</v>
      </c>
      <c r="S2">
        <f>25</f>
        <v>25</v>
      </c>
      <c r="T2" s="30">
        <f>U2/$V$17</f>
        <v>1.7857142857142856E-2</v>
      </c>
      <c r="U2">
        <f>V2</f>
        <v>1</v>
      </c>
      <c r="V2">
        <f>COUNTIF(O:O,"&lt;="&amp;R2)</f>
        <v>1</v>
      </c>
      <c r="X2" s="31" t="s">
        <v>23</v>
      </c>
      <c r="Y2" s="2">
        <f>V17</f>
        <v>56</v>
      </c>
      <c r="Z2" s="2"/>
      <c r="AA2" s="2"/>
      <c r="AB2" s="2"/>
      <c r="AC2" s="2"/>
      <c r="AE2">
        <v>130</v>
      </c>
      <c r="AF2">
        <f>AE2/2</f>
        <v>65</v>
      </c>
      <c r="AG2" s="30">
        <f>AH2/$AI$8</f>
        <v>0.14285714285714285</v>
      </c>
      <c r="AH2">
        <f>AI2</f>
        <v>8</v>
      </c>
      <c r="AI2">
        <f>COUNTIF(O:O,"&lt;="&amp;AE2)</f>
        <v>8</v>
      </c>
    </row>
    <row r="3" spans="1:35" x14ac:dyDescent="0.2">
      <c r="D3">
        <v>2</v>
      </c>
      <c r="E3" s="29">
        <f t="shared" ca="1" si="0"/>
        <v>-14.004765736839618</v>
      </c>
      <c r="F3" s="29">
        <f t="shared" ca="1" si="1"/>
        <v>2.9559017911476508</v>
      </c>
      <c r="G3" s="29">
        <f ca="1">_xll.RiskUniform($L$2,$M$2)</f>
        <v>53.199064081481637</v>
      </c>
      <c r="H3" s="29">
        <f ca="1">_xll.RiskUniform($L$3,$M$3)</f>
        <v>14.313309147177211</v>
      </c>
      <c r="I3" s="2">
        <f t="shared" ref="I3:I57" ca="1" si="2">SQRT(E3^2+F3^2)</f>
        <v>14.313309147177211</v>
      </c>
      <c r="K3" t="s">
        <v>81</v>
      </c>
      <c r="L3">
        <v>0</v>
      </c>
      <c r="M3">
        <v>800</v>
      </c>
      <c r="O3" s="18">
        <v>56.763182769341199</v>
      </c>
      <c r="R3">
        <v>100</v>
      </c>
      <c r="S3">
        <f>S2+50</f>
        <v>75</v>
      </c>
      <c r="T3" s="30">
        <f t="shared" ref="T3:T21" si="3">U3/$V$17</f>
        <v>7.1428571428571425E-2</v>
      </c>
      <c r="U3">
        <f>V3-V2</f>
        <v>4</v>
      </c>
      <c r="V3">
        <f t="shared" ref="V3:V21" si="4">COUNTIF(O:O,"&lt;="&amp;R3)</f>
        <v>5</v>
      </c>
      <c r="X3" s="31" t="s">
        <v>82</v>
      </c>
      <c r="Y3" s="2">
        <f>STDEV(O:O)</f>
        <v>215.01112697032443</v>
      </c>
      <c r="Z3" s="2"/>
      <c r="AA3" s="2"/>
      <c r="AB3" s="2"/>
      <c r="AC3" s="2"/>
      <c r="AE3">
        <f>AE2+$AE$2</f>
        <v>260</v>
      </c>
      <c r="AF3">
        <f>AF2+$AE$2</f>
        <v>195</v>
      </c>
      <c r="AG3" s="30">
        <f t="shared" ref="AG3:AG8" si="5">AH3/$AI$8</f>
        <v>0.32142857142857145</v>
      </c>
      <c r="AH3">
        <f>AI3-AI2</f>
        <v>18</v>
      </c>
      <c r="AI3">
        <f t="shared" ref="AI3:AI8" si="6">COUNTIF(O:O,"&lt;="&amp;AE3)</f>
        <v>26</v>
      </c>
    </row>
    <row r="4" spans="1:35" x14ac:dyDescent="0.2">
      <c r="A4">
        <f>9*150</f>
        <v>1350</v>
      </c>
      <c r="D4">
        <v>3</v>
      </c>
      <c r="E4" s="29">
        <f t="shared" ca="1" si="0"/>
        <v>-237.01114157973015</v>
      </c>
      <c r="F4" s="29">
        <f t="shared" ca="1" si="1"/>
        <v>-595.80003848233764</v>
      </c>
      <c r="G4" s="29">
        <f ca="1">_xll.RiskUniform($L$2,$M$2)</f>
        <v>230.5284489176405</v>
      </c>
      <c r="H4" s="29">
        <f ca="1">_xll.RiskUniform($L$3,$M$3)</f>
        <v>641.21132794772257</v>
      </c>
      <c r="I4" s="2">
        <f t="shared" ca="1" si="2"/>
        <v>641.21132794772257</v>
      </c>
      <c r="O4" s="18">
        <v>61.626192007796021</v>
      </c>
      <c r="R4">
        <v>150</v>
      </c>
      <c r="S4">
        <f t="shared" ref="S4:S21" si="7">S3+50</f>
        <v>125</v>
      </c>
      <c r="T4" s="30">
        <f t="shared" si="3"/>
        <v>0.125</v>
      </c>
      <c r="U4">
        <f t="shared" ref="U4:U21" si="8">V4-V3</f>
        <v>7</v>
      </c>
      <c r="V4">
        <f t="shared" si="4"/>
        <v>12</v>
      </c>
      <c r="X4" s="31" t="s">
        <v>83</v>
      </c>
      <c r="Y4" s="2">
        <f>MAX(O:O)-MIN(O:O)</f>
        <v>786.31971366416712</v>
      </c>
      <c r="Z4" s="2"/>
      <c r="AA4" s="2" t="s">
        <v>84</v>
      </c>
      <c r="AB4" s="2" t="s">
        <v>85</v>
      </c>
      <c r="AC4" s="2" t="s">
        <v>86</v>
      </c>
      <c r="AE4">
        <f t="shared" ref="AE4:AF8" si="9">AE3+$AE$2</f>
        <v>390</v>
      </c>
      <c r="AF4">
        <f t="shared" si="9"/>
        <v>325</v>
      </c>
      <c r="AG4" s="30">
        <f t="shared" si="5"/>
        <v>0.19642857142857142</v>
      </c>
      <c r="AH4">
        <f t="shared" ref="AH4:AH8" si="10">AI4-AI3</f>
        <v>11</v>
      </c>
      <c r="AI4">
        <f t="shared" si="6"/>
        <v>37</v>
      </c>
    </row>
    <row r="5" spans="1:35" x14ac:dyDescent="0.2">
      <c r="A5">
        <v>0.01</v>
      </c>
      <c r="D5">
        <v>4</v>
      </c>
      <c r="E5" s="29">
        <f t="shared" ca="1" si="0"/>
        <v>683.42036539155288</v>
      </c>
      <c r="F5" s="29">
        <f t="shared" ca="1" si="1"/>
        <v>399.2223475923609</v>
      </c>
      <c r="G5" s="29">
        <f ca="1">_xll.RiskUniform($L$2,$M$2)</f>
        <v>270.70565432108947</v>
      </c>
      <c r="H5" s="29">
        <f ca="1">_xll.RiskUniform($L$3,$M$3)</f>
        <v>791.48081382247005</v>
      </c>
      <c r="I5" s="2">
        <f t="shared" ca="1" si="2"/>
        <v>791.48081382247005</v>
      </c>
      <c r="O5" s="18">
        <v>71.18213204823914</v>
      </c>
      <c r="R5">
        <v>200</v>
      </c>
      <c r="S5">
        <f t="shared" si="7"/>
        <v>175</v>
      </c>
      <c r="T5" s="30">
        <f t="shared" si="3"/>
        <v>7.1428571428571425E-2</v>
      </c>
      <c r="U5">
        <f t="shared" si="8"/>
        <v>4</v>
      </c>
      <c r="V5">
        <f t="shared" si="4"/>
        <v>16</v>
      </c>
      <c r="X5" s="31" t="s">
        <v>87</v>
      </c>
      <c r="Y5" s="2">
        <f>AC5-AC6</f>
        <v>282.76691399975425</v>
      </c>
      <c r="Z5" s="2"/>
      <c r="AA5" s="2" cm="1">
        <f t="array" ref="AA5">INDEX($O$2:$O$57,ROUND(Y10,0))</f>
        <v>465.34721775248966</v>
      </c>
      <c r="AB5" s="2" cm="1">
        <f t="array" ref="AB5">INDEX($O$2:$O$57,ROUND(Y10,0)+1)</f>
        <v>477.01048610157147</v>
      </c>
      <c r="AC5" s="2">
        <f>AVERAGE(AA5:AB5)</f>
        <v>471.17885192703056</v>
      </c>
      <c r="AE5">
        <f t="shared" si="9"/>
        <v>520</v>
      </c>
      <c r="AF5">
        <f t="shared" si="9"/>
        <v>455</v>
      </c>
      <c r="AG5" s="30">
        <f t="shared" si="5"/>
        <v>0.16071428571428573</v>
      </c>
      <c r="AH5">
        <f t="shared" si="10"/>
        <v>9</v>
      </c>
      <c r="AI5">
        <f t="shared" si="6"/>
        <v>46</v>
      </c>
    </row>
    <row r="6" spans="1:35" x14ac:dyDescent="0.2">
      <c r="A6">
        <v>0.03</v>
      </c>
      <c r="D6">
        <v>5</v>
      </c>
      <c r="E6" s="29">
        <f t="shared" ca="1" si="0"/>
        <v>242.82521427129149</v>
      </c>
      <c r="F6" s="29">
        <f t="shared" ca="1" si="1"/>
        <v>251.18047071287498</v>
      </c>
      <c r="G6" s="29">
        <f ca="1">_xll.RiskUniform($L$2,$M$2)</f>
        <v>157.88194251037064</v>
      </c>
      <c r="H6" s="29">
        <f ca="1">_xll.RiskUniform($L$3,$M$3)</f>
        <v>349.36472854803196</v>
      </c>
      <c r="I6" s="2">
        <f t="shared" ca="1" si="2"/>
        <v>349.36472854803196</v>
      </c>
      <c r="O6" s="18">
        <v>80.169872274657976</v>
      </c>
      <c r="R6">
        <v>250</v>
      </c>
      <c r="S6">
        <f t="shared" si="7"/>
        <v>225</v>
      </c>
      <c r="T6" s="30">
        <f t="shared" si="3"/>
        <v>0.125</v>
      </c>
      <c r="U6">
        <f t="shared" si="8"/>
        <v>7</v>
      </c>
      <c r="V6">
        <f t="shared" si="4"/>
        <v>23</v>
      </c>
      <c r="Y6" s="2"/>
      <c r="Z6" s="2"/>
      <c r="AA6" s="2" cm="1">
        <f t="array" ref="AA6">INDEX($O$2:$O$57,ROUND(Y9,0))</f>
        <v>186.73720605620963</v>
      </c>
      <c r="AB6" s="2" cm="1">
        <f t="array" ref="AB6">INDEX($O$2:$O$57,ROUND(Y9,0)+1)</f>
        <v>190.08666979834294</v>
      </c>
      <c r="AC6" s="2">
        <f>AVERAGE(AA6:AB6)</f>
        <v>188.41193792727628</v>
      </c>
      <c r="AE6">
        <f t="shared" si="9"/>
        <v>650</v>
      </c>
      <c r="AF6">
        <f t="shared" si="9"/>
        <v>585</v>
      </c>
      <c r="AG6" s="30">
        <f t="shared" si="5"/>
        <v>3.5714285714285712E-2</v>
      </c>
      <c r="AH6">
        <f t="shared" si="10"/>
        <v>2</v>
      </c>
      <c r="AI6">
        <f t="shared" si="6"/>
        <v>48</v>
      </c>
    </row>
    <row r="7" spans="1:35" x14ac:dyDescent="0.2">
      <c r="D7">
        <v>6</v>
      </c>
      <c r="E7" s="29">
        <f t="shared" ca="1" si="0"/>
        <v>191.10785569667291</v>
      </c>
      <c r="F7" s="29">
        <f t="shared" ca="1" si="1"/>
        <v>317.14625718691235</v>
      </c>
      <c r="G7" s="29">
        <f ca="1">_xll.RiskUniform($L$2,$M$2)</f>
        <v>352.8868548169948</v>
      </c>
      <c r="H7" s="29">
        <f ca="1">_xll.RiskUniform($L$3,$M$3)</f>
        <v>370.27552033134396</v>
      </c>
      <c r="I7" s="2">
        <f t="shared" ca="1" si="2"/>
        <v>370.27552033134396</v>
      </c>
      <c r="O7" s="18">
        <v>100.64910117124795</v>
      </c>
      <c r="R7">
        <v>300</v>
      </c>
      <c r="S7">
        <f t="shared" si="7"/>
        <v>275</v>
      </c>
      <c r="T7" s="30">
        <f t="shared" si="3"/>
        <v>7.1428571428571425E-2</v>
      </c>
      <c r="U7">
        <f t="shared" si="8"/>
        <v>4</v>
      </c>
      <c r="V7">
        <f t="shared" si="4"/>
        <v>27</v>
      </c>
      <c r="Y7" s="2"/>
      <c r="Z7" s="2"/>
      <c r="AA7" s="2"/>
      <c r="AB7" s="2"/>
      <c r="AC7" s="2"/>
      <c r="AE7">
        <f t="shared" si="9"/>
        <v>780</v>
      </c>
      <c r="AF7">
        <f t="shared" si="9"/>
        <v>715</v>
      </c>
      <c r="AG7" s="30">
        <f t="shared" si="5"/>
        <v>0.10714285714285714</v>
      </c>
      <c r="AH7">
        <f t="shared" si="10"/>
        <v>6</v>
      </c>
      <c r="AI7">
        <f t="shared" si="6"/>
        <v>54</v>
      </c>
    </row>
    <row r="8" spans="1:35" x14ac:dyDescent="0.2">
      <c r="A8" t="s">
        <v>88</v>
      </c>
      <c r="B8">
        <v>1.2</v>
      </c>
      <c r="D8">
        <v>7</v>
      </c>
      <c r="E8" s="29">
        <f t="shared" ca="1" si="0"/>
        <v>213.3175881917324</v>
      </c>
      <c r="F8" s="29">
        <f t="shared" ca="1" si="1"/>
        <v>-234.53719433316917</v>
      </c>
      <c r="G8" s="29">
        <f ca="1">_xll.RiskUniform($L$2,$M$2)</f>
        <v>55.715924458163556</v>
      </c>
      <c r="H8" s="29">
        <f ca="1">_xll.RiskUniform($L$3,$M$3)</f>
        <v>317.03641582255545</v>
      </c>
      <c r="I8" s="2">
        <f t="shared" ca="1" si="2"/>
        <v>317.03641582255545</v>
      </c>
      <c r="O8" s="18">
        <v>102.19496733893988</v>
      </c>
      <c r="R8">
        <v>350</v>
      </c>
      <c r="S8">
        <f t="shared" si="7"/>
        <v>325</v>
      </c>
      <c r="T8" s="30">
        <f t="shared" si="3"/>
        <v>0.10714285714285714</v>
      </c>
      <c r="U8">
        <f t="shared" si="8"/>
        <v>6</v>
      </c>
      <c r="V8">
        <f t="shared" si="4"/>
        <v>33</v>
      </c>
      <c r="Y8" s="2"/>
      <c r="Z8" s="2"/>
      <c r="AA8" s="2"/>
      <c r="AB8" s="2"/>
      <c r="AC8" s="2"/>
      <c r="AE8">
        <f t="shared" si="9"/>
        <v>910</v>
      </c>
      <c r="AF8">
        <f t="shared" si="9"/>
        <v>845</v>
      </c>
      <c r="AG8" s="30">
        <f t="shared" si="5"/>
        <v>3.5714285714285712E-2</v>
      </c>
      <c r="AH8">
        <f t="shared" si="10"/>
        <v>2</v>
      </c>
      <c r="AI8">
        <f t="shared" si="6"/>
        <v>56</v>
      </c>
    </row>
    <row r="9" spans="1:35" x14ac:dyDescent="0.2">
      <c r="B9" s="2"/>
      <c r="D9">
        <v>8</v>
      </c>
      <c r="E9" s="29">
        <f t="shared" ca="1" si="0"/>
        <v>84.006054472063553</v>
      </c>
      <c r="F9" s="29">
        <f t="shared" ca="1" si="1"/>
        <v>-38.275901032061036</v>
      </c>
      <c r="G9" s="29">
        <f ca="1">_xll.RiskUniform($L$2,$M$2)</f>
        <v>269.74944005466983</v>
      </c>
      <c r="H9" s="29">
        <f ca="1">_xll.RiskUniform($L$3,$M$3)</f>
        <v>92.315013880622047</v>
      </c>
      <c r="I9" s="2">
        <f t="shared" ca="1" si="2"/>
        <v>92.315013880622033</v>
      </c>
      <c r="O9" s="18">
        <v>118.55743203032416</v>
      </c>
      <c r="R9">
        <v>400</v>
      </c>
      <c r="S9">
        <f t="shared" si="7"/>
        <v>375</v>
      </c>
      <c r="T9" s="30">
        <f t="shared" si="3"/>
        <v>7.1428571428571425E-2</v>
      </c>
      <c r="U9">
        <f t="shared" si="8"/>
        <v>4</v>
      </c>
      <c r="V9">
        <f t="shared" si="4"/>
        <v>37</v>
      </c>
      <c r="X9" t="s">
        <v>89</v>
      </c>
      <c r="Y9" s="2">
        <f>Y2/4</f>
        <v>14</v>
      </c>
      <c r="Z9" s="2"/>
      <c r="AA9" s="2"/>
      <c r="AB9" s="2"/>
      <c r="AC9" s="2"/>
      <c r="AG9" s="30"/>
    </row>
    <row r="10" spans="1:35" x14ac:dyDescent="0.2">
      <c r="D10">
        <v>9</v>
      </c>
      <c r="E10" s="29">
        <f t="shared" ca="1" si="0"/>
        <v>147.5965027029045</v>
      </c>
      <c r="F10" s="29">
        <f t="shared" ca="1" si="1"/>
        <v>690.20946286299579</v>
      </c>
      <c r="G10" s="29">
        <f ca="1">_xll.RiskUniform($L$2,$M$2)</f>
        <v>101.89109116870323</v>
      </c>
      <c r="H10" s="29">
        <f ca="1">_xll.RiskUniform($L$3,$M$3)</f>
        <v>705.81430294076199</v>
      </c>
      <c r="I10" s="2">
        <f t="shared" ca="1" si="2"/>
        <v>705.81430294076199</v>
      </c>
      <c r="K10" t="s">
        <v>90</v>
      </c>
      <c r="L10" s="2">
        <f ca="1">AVERAGE(I:I)</f>
        <v>417.66083906029888</v>
      </c>
      <c r="O10" s="18">
        <v>134.20237999079427</v>
      </c>
      <c r="R10">
        <v>450</v>
      </c>
      <c r="S10">
        <f t="shared" si="7"/>
        <v>425</v>
      </c>
      <c r="T10" s="30">
        <f t="shared" si="3"/>
        <v>3.5714285714285712E-2</v>
      </c>
      <c r="U10">
        <f t="shared" si="8"/>
        <v>2</v>
      </c>
      <c r="V10">
        <f t="shared" si="4"/>
        <v>39</v>
      </c>
      <c r="Y10" s="2">
        <f>3*Y9</f>
        <v>42</v>
      </c>
      <c r="Z10" s="2"/>
      <c r="AA10" s="2"/>
      <c r="AB10" s="2"/>
      <c r="AC10" s="2"/>
      <c r="AG10" s="30"/>
    </row>
    <row r="11" spans="1:35" x14ac:dyDescent="0.2">
      <c r="D11">
        <v>10</v>
      </c>
      <c r="E11" s="29">
        <f t="shared" ca="1" si="0"/>
        <v>38.512908862739273</v>
      </c>
      <c r="F11" s="29">
        <f t="shared" ca="1" si="1"/>
        <v>-326.92823114345481</v>
      </c>
      <c r="G11" s="29">
        <f ca="1">_xll.RiskUniform($L$2,$M$2)</f>
        <v>80.227874564278437</v>
      </c>
      <c r="H11" s="29">
        <f ca="1">_xll.RiskUniform($L$3,$M$3)</f>
        <v>329.18887051001269</v>
      </c>
      <c r="I11" s="2">
        <f t="shared" ca="1" si="2"/>
        <v>329.18887051001263</v>
      </c>
      <c r="K11" t="s">
        <v>91</v>
      </c>
      <c r="L11" s="2">
        <f ca="1">MIN(I:I)</f>
        <v>14.313309147177211</v>
      </c>
      <c r="O11" s="18">
        <v>140.81312978488344</v>
      </c>
      <c r="R11">
        <v>500</v>
      </c>
      <c r="S11">
        <f t="shared" si="7"/>
        <v>475</v>
      </c>
      <c r="T11" s="30">
        <f t="shared" si="3"/>
        <v>8.9285714285714288E-2</v>
      </c>
      <c r="U11">
        <f t="shared" si="8"/>
        <v>5</v>
      </c>
      <c r="V11">
        <f t="shared" si="4"/>
        <v>44</v>
      </c>
      <c r="Y11" s="2"/>
      <c r="Z11" s="2"/>
      <c r="AA11" s="2"/>
      <c r="AB11" s="2"/>
      <c r="AC11" s="2"/>
      <c r="AG11" s="30"/>
    </row>
    <row r="12" spans="1:35" x14ac:dyDescent="0.2">
      <c r="D12">
        <v>11</v>
      </c>
      <c r="E12" s="29">
        <f t="shared" ca="1" si="0"/>
        <v>-91.826153613243775</v>
      </c>
      <c r="F12" s="29">
        <f t="shared" ca="1" si="1"/>
        <v>-296.10801372757726</v>
      </c>
      <c r="G12" s="29">
        <f ca="1">_xll.RiskUniform($L$2,$M$2)</f>
        <v>180.34087125837519</v>
      </c>
      <c r="H12" s="29">
        <f ca="1">_xll.RiskUniform($L$3,$M$3)</f>
        <v>310.01935146228232</v>
      </c>
      <c r="I12" s="2">
        <f t="shared" ca="1" si="2"/>
        <v>310.01935146228232</v>
      </c>
      <c r="K12" t="s">
        <v>92</v>
      </c>
      <c r="L12" s="2">
        <f ca="1">MAX(I:I)</f>
        <v>799.86824198050124</v>
      </c>
      <c r="O12" s="18">
        <v>141.24171938246411</v>
      </c>
      <c r="R12">
        <v>550</v>
      </c>
      <c r="S12">
        <f t="shared" si="7"/>
        <v>525</v>
      </c>
      <c r="T12" s="30">
        <f t="shared" si="3"/>
        <v>3.5714285714285712E-2</v>
      </c>
      <c r="U12">
        <f t="shared" si="8"/>
        <v>2</v>
      </c>
      <c r="V12">
        <f t="shared" si="4"/>
        <v>46</v>
      </c>
      <c r="Y12" s="2"/>
      <c r="Z12" s="2"/>
      <c r="AA12" s="2"/>
      <c r="AB12" s="2"/>
      <c r="AC12" s="2"/>
      <c r="AG12" s="30"/>
    </row>
    <row r="13" spans="1:35" x14ac:dyDescent="0.2">
      <c r="A13" t="s">
        <v>93</v>
      </c>
      <c r="D13">
        <v>12</v>
      </c>
      <c r="E13" s="29">
        <f t="shared" ca="1" si="0"/>
        <v>-403.09253288163427</v>
      </c>
      <c r="F13" s="29">
        <f t="shared" ca="1" si="1"/>
        <v>357.32803584262564</v>
      </c>
      <c r="G13" s="29">
        <f ca="1">_xll.RiskUniform($L$2,$M$2)</f>
        <v>65.248158197505532</v>
      </c>
      <c r="H13" s="29">
        <f ca="1">_xll.RiskUniform($L$3,$M$3)</f>
        <v>538.67143535190371</v>
      </c>
      <c r="I13" s="2">
        <f t="shared" ca="1" si="2"/>
        <v>538.67143535190371</v>
      </c>
      <c r="O13" s="18">
        <v>149.33680276368878</v>
      </c>
      <c r="R13">
        <v>600</v>
      </c>
      <c r="S13">
        <f t="shared" si="7"/>
        <v>575</v>
      </c>
      <c r="T13" s="30">
        <f t="shared" si="3"/>
        <v>0</v>
      </c>
      <c r="U13">
        <f t="shared" si="8"/>
        <v>0</v>
      </c>
      <c r="V13">
        <f t="shared" si="4"/>
        <v>46</v>
      </c>
      <c r="X13" s="32" t="s">
        <v>94</v>
      </c>
      <c r="Y13" s="33">
        <f>(Y2^0.333*Y4)/(2*Y5)</f>
        <v>5.3123562216887166</v>
      </c>
      <c r="Z13" s="2"/>
      <c r="AA13" s="2"/>
      <c r="AB13" s="2"/>
      <c r="AC13" s="2"/>
      <c r="AG13" s="30"/>
    </row>
    <row r="14" spans="1:35" x14ac:dyDescent="0.2">
      <c r="A14">
        <v>1</v>
      </c>
      <c r="B14">
        <f ca="1">ROUND(_xll.RiskUniform(A29,B29),0)</f>
        <v>0</v>
      </c>
      <c r="D14">
        <v>13</v>
      </c>
      <c r="E14" s="29">
        <f t="shared" ca="1" si="0"/>
        <v>678.55881878112314</v>
      </c>
      <c r="F14" s="29">
        <f t="shared" ca="1" si="1"/>
        <v>37.320279246669564</v>
      </c>
      <c r="G14" s="29">
        <f ca="1">_xll.RiskUniform($L$2,$M$2)</f>
        <v>175.98413257346317</v>
      </c>
      <c r="H14" s="29">
        <f ca="1">_xll.RiskUniform($L$3,$M$3)</f>
        <v>679.58433898132353</v>
      </c>
      <c r="I14" s="2">
        <f t="shared" ca="1" si="2"/>
        <v>679.58433898132353</v>
      </c>
      <c r="K14" t="s">
        <v>96</v>
      </c>
      <c r="L14">
        <f ca="1">COUNTIF(I:I,"&lt;400")</f>
        <v>33</v>
      </c>
      <c r="O14" s="18">
        <v>160.27296889749357</v>
      </c>
      <c r="R14">
        <v>650</v>
      </c>
      <c r="S14">
        <f t="shared" si="7"/>
        <v>625</v>
      </c>
      <c r="T14" s="30">
        <f t="shared" si="3"/>
        <v>3.5714285714285712E-2</v>
      </c>
      <c r="U14">
        <f t="shared" si="8"/>
        <v>2</v>
      </c>
      <c r="V14">
        <f t="shared" si="4"/>
        <v>48</v>
      </c>
      <c r="Y14" s="2"/>
      <c r="Z14" s="2"/>
      <c r="AA14" s="2"/>
      <c r="AB14" s="2"/>
      <c r="AC14" s="2"/>
      <c r="AG14" s="30"/>
    </row>
    <row r="15" spans="1:35" x14ac:dyDescent="0.2">
      <c r="A15">
        <v>2</v>
      </c>
      <c r="B15">
        <f ca="1">ROUND(_xll.RiskUniform(A30,B30),0)</f>
        <v>0</v>
      </c>
      <c r="D15">
        <v>14</v>
      </c>
      <c r="E15" s="29">
        <f t="shared" ca="1" si="0"/>
        <v>190.45202136952</v>
      </c>
      <c r="F15" s="29">
        <f t="shared" ca="1" si="1"/>
        <v>-66.966364858038247</v>
      </c>
      <c r="G15" s="29">
        <f ca="1">_xll.RiskUniform($L$2,$M$2)</f>
        <v>81.343293448310177</v>
      </c>
      <c r="H15" s="29">
        <f ca="1">_xll.RiskUniform($L$3,$M$3)</f>
        <v>201.88230845231584</v>
      </c>
      <c r="I15" s="2">
        <f t="shared" ca="1" si="2"/>
        <v>201.88230845231584</v>
      </c>
      <c r="L15">
        <f ca="1">L14/56</f>
        <v>0.5892857142857143</v>
      </c>
      <c r="O15" s="18">
        <v>186.73720605620963</v>
      </c>
      <c r="R15">
        <v>700</v>
      </c>
      <c r="S15">
        <f t="shared" si="7"/>
        <v>675</v>
      </c>
      <c r="T15" s="30">
        <f t="shared" si="3"/>
        <v>3.5714285714285712E-2</v>
      </c>
      <c r="U15">
        <f t="shared" si="8"/>
        <v>2</v>
      </c>
      <c r="V15">
        <f t="shared" si="4"/>
        <v>50</v>
      </c>
      <c r="Y15" s="2"/>
      <c r="Z15" s="2"/>
      <c r="AA15" s="2"/>
      <c r="AB15" s="2"/>
      <c r="AC15" s="2"/>
      <c r="AG15" s="30"/>
    </row>
    <row r="16" spans="1:35" x14ac:dyDescent="0.2">
      <c r="A16">
        <v>3</v>
      </c>
      <c r="B16">
        <f ca="1">ROUND(_xll.RiskUniform(A31,B31),0)</f>
        <v>0</v>
      </c>
      <c r="D16">
        <v>15</v>
      </c>
      <c r="E16" s="29">
        <f t="shared" ca="1" si="0"/>
        <v>-99.614332534541447</v>
      </c>
      <c r="F16" s="29">
        <f t="shared" ca="1" si="1"/>
        <v>249.77343769289325</v>
      </c>
      <c r="G16" s="29">
        <f ca="1">_xll.RiskUniform($L$2,$M$2)</f>
        <v>265.84406687992896</v>
      </c>
      <c r="H16" s="29">
        <f ca="1">_xll.RiskUniform($L$3,$M$3)</f>
        <v>268.90478876960861</v>
      </c>
      <c r="I16" s="2">
        <f t="shared" ca="1" si="2"/>
        <v>268.90478876960861</v>
      </c>
      <c r="O16" s="18">
        <v>190.08666979834294</v>
      </c>
      <c r="R16">
        <v>750</v>
      </c>
      <c r="S16">
        <f t="shared" si="7"/>
        <v>725</v>
      </c>
      <c r="T16" s="30">
        <f t="shared" si="3"/>
        <v>3.5714285714285712E-2</v>
      </c>
      <c r="U16">
        <f t="shared" si="8"/>
        <v>2</v>
      </c>
      <c r="V16">
        <f t="shared" si="4"/>
        <v>52</v>
      </c>
      <c r="Y16" s="2"/>
      <c r="Z16" s="2"/>
      <c r="AA16" s="2"/>
      <c r="AB16" s="2"/>
      <c r="AC16" s="2"/>
      <c r="AG16" s="30"/>
    </row>
    <row r="17" spans="1:33" x14ac:dyDescent="0.2">
      <c r="A17">
        <v>4</v>
      </c>
      <c r="B17">
        <f ca="1">ROUND(_xll.RiskUniform(A32,B32),0)</f>
        <v>0</v>
      </c>
      <c r="D17">
        <v>16</v>
      </c>
      <c r="E17" s="29">
        <f t="shared" ca="1" si="0"/>
        <v>-7.7223191373803406</v>
      </c>
      <c r="F17" s="29">
        <f t="shared" ca="1" si="1"/>
        <v>749.05244456899197</v>
      </c>
      <c r="G17" s="29">
        <f ca="1">_xll.RiskUniform($L$2,$M$2)</f>
        <v>58.12977317673959</v>
      </c>
      <c r="H17" s="29">
        <f ca="1">_xll.RiskUniform($L$3,$M$3)</f>
        <v>749.09224994498663</v>
      </c>
      <c r="I17" s="2">
        <f t="shared" ca="1" si="2"/>
        <v>749.09224994498663</v>
      </c>
      <c r="O17" s="18">
        <v>196.51736224713616</v>
      </c>
      <c r="R17">
        <v>800</v>
      </c>
      <c r="S17">
        <f t="shared" si="7"/>
        <v>775</v>
      </c>
      <c r="T17" s="30">
        <f t="shared" si="3"/>
        <v>7.1428571428571425E-2</v>
      </c>
      <c r="U17">
        <f t="shared" si="8"/>
        <v>4</v>
      </c>
      <c r="V17">
        <f t="shared" si="4"/>
        <v>56</v>
      </c>
      <c r="X17" s="32" t="s">
        <v>97</v>
      </c>
      <c r="Y17" s="33">
        <f>1+3.322*LOG(Y2)</f>
        <v>6.8074806257145983</v>
      </c>
      <c r="Z17" s="2"/>
      <c r="AA17" s="2"/>
      <c r="AB17" s="2"/>
      <c r="AC17" s="2"/>
      <c r="AG17" s="30"/>
    </row>
    <row r="18" spans="1:33" x14ac:dyDescent="0.2">
      <c r="A18">
        <v>5</v>
      </c>
      <c r="B18">
        <f ca="1">ROUND(_xll.RiskUniform(A33,B33),0)</f>
        <v>0</v>
      </c>
      <c r="D18">
        <v>17</v>
      </c>
      <c r="E18" s="29">
        <f t="shared" ca="1" si="0"/>
        <v>152.86980503131912</v>
      </c>
      <c r="F18" s="29">
        <f t="shared" ca="1" si="1"/>
        <v>-35.029218603320281</v>
      </c>
      <c r="G18" s="29">
        <f ca="1">_xll.RiskUniform($L$2,$M$2)</f>
        <v>75.172968318418711</v>
      </c>
      <c r="H18" s="29">
        <f ca="1">_xll.RiskUniform($L$3,$M$3)</f>
        <v>156.83183173792469</v>
      </c>
      <c r="I18" s="2">
        <f t="shared" ca="1" si="2"/>
        <v>156.83183173792469</v>
      </c>
      <c r="O18" s="18">
        <v>202.04192402679126</v>
      </c>
      <c r="R18">
        <v>801</v>
      </c>
      <c r="S18">
        <f t="shared" si="7"/>
        <v>825</v>
      </c>
      <c r="T18" s="30">
        <f t="shared" si="3"/>
        <v>0</v>
      </c>
      <c r="U18">
        <f t="shared" si="8"/>
        <v>0</v>
      </c>
      <c r="V18">
        <f t="shared" si="4"/>
        <v>56</v>
      </c>
      <c r="Y18" s="2"/>
      <c r="Z18" s="2"/>
      <c r="AA18" s="2"/>
      <c r="AB18" s="2"/>
      <c r="AC18" s="2"/>
      <c r="AG18" s="30"/>
    </row>
    <row r="19" spans="1:33" x14ac:dyDescent="0.2">
      <c r="A19">
        <v>6</v>
      </c>
      <c r="B19">
        <f ca="1">ROUND(_xll.RiskUniform(A34,B34),0)</f>
        <v>0</v>
      </c>
      <c r="D19">
        <v>18</v>
      </c>
      <c r="E19" s="29">
        <f t="shared" ca="1" si="0"/>
        <v>28.568622578737486</v>
      </c>
      <c r="F19" s="29">
        <f t="shared" ca="1" si="1"/>
        <v>-363.43152154881597</v>
      </c>
      <c r="G19" s="29">
        <f ca="1">_xll.RiskUniform($L$2,$M$2)</f>
        <v>224.70232141059941</v>
      </c>
      <c r="H19" s="29">
        <f ca="1">_xll.RiskUniform($L$3,$M$3)</f>
        <v>364.55265333190738</v>
      </c>
      <c r="I19" s="2">
        <f t="shared" ca="1" si="2"/>
        <v>364.55265333190732</v>
      </c>
      <c r="O19" s="18">
        <v>217.23423468520497</v>
      </c>
      <c r="R19">
        <v>802</v>
      </c>
      <c r="S19">
        <f t="shared" si="7"/>
        <v>875</v>
      </c>
      <c r="T19" s="30">
        <f t="shared" si="3"/>
        <v>0</v>
      </c>
      <c r="U19">
        <f t="shared" si="8"/>
        <v>0</v>
      </c>
      <c r="V19">
        <f t="shared" si="4"/>
        <v>56</v>
      </c>
      <c r="X19" t="s">
        <v>98</v>
      </c>
      <c r="Y19" s="2">
        <f>MAX(O:O)</f>
        <v>788.46283699618255</v>
      </c>
      <c r="Z19" s="2"/>
      <c r="AA19" s="2"/>
      <c r="AB19" s="2"/>
      <c r="AC19" s="2"/>
      <c r="AG19" s="30"/>
    </row>
    <row r="20" spans="1:33" x14ac:dyDescent="0.2">
      <c r="A20">
        <v>7</v>
      </c>
      <c r="B20">
        <f ca="1">ROUND(_xll.RiskUniform(A35,B35),0)</f>
        <v>0</v>
      </c>
      <c r="D20">
        <v>19</v>
      </c>
      <c r="E20" s="29">
        <f t="shared" ca="1" si="0"/>
        <v>280.86287895835369</v>
      </c>
      <c r="F20" s="29">
        <f t="shared" ca="1" si="1"/>
        <v>56.745117204319321</v>
      </c>
      <c r="G20" s="29">
        <f ca="1">_xll.RiskUniform($L$2,$M$2)</f>
        <v>100.73031980860148</v>
      </c>
      <c r="H20" s="29">
        <f ca="1">_xll.RiskUniform($L$3,$M$3)</f>
        <v>286.53789470732625</v>
      </c>
      <c r="I20" s="2">
        <f t="shared" ca="1" si="2"/>
        <v>286.53789470732625</v>
      </c>
      <c r="O20" s="18">
        <v>217.7906850710018</v>
      </c>
      <c r="R20">
        <v>803</v>
      </c>
      <c r="S20">
        <f t="shared" si="7"/>
        <v>925</v>
      </c>
      <c r="T20" s="30">
        <f t="shared" si="3"/>
        <v>0</v>
      </c>
      <c r="U20">
        <f t="shared" si="8"/>
        <v>0</v>
      </c>
      <c r="V20">
        <f t="shared" si="4"/>
        <v>56</v>
      </c>
      <c r="Y20" s="2"/>
      <c r="Z20" s="2"/>
      <c r="AA20" s="2"/>
      <c r="AB20" s="2"/>
      <c r="AC20" s="2"/>
      <c r="AG20" s="30"/>
    </row>
    <row r="21" spans="1:33" x14ac:dyDescent="0.2">
      <c r="A21">
        <v>8</v>
      </c>
      <c r="B21">
        <f ca="1">ROUND(_xll.RiskUniform(A36,B36),0)</f>
        <v>0</v>
      </c>
      <c r="D21">
        <v>20</v>
      </c>
      <c r="E21" s="29">
        <f t="shared" ca="1" si="0"/>
        <v>-283.99936788233072</v>
      </c>
      <c r="F21" s="29">
        <f t="shared" ca="1" si="1"/>
        <v>-576.57825689306799</v>
      </c>
      <c r="G21" s="29">
        <f ca="1">_xll.RiskUniform($L$2,$M$2)</f>
        <v>142.48478785003095</v>
      </c>
      <c r="H21" s="29">
        <f ca="1">_xll.RiskUniform($L$3,$M$3)</f>
        <v>642.72710171534868</v>
      </c>
      <c r="I21" s="2">
        <f t="shared" ca="1" si="2"/>
        <v>642.72710171534868</v>
      </c>
      <c r="O21" s="18">
        <v>224.81047323463548</v>
      </c>
      <c r="R21">
        <v>804</v>
      </c>
      <c r="S21">
        <f t="shared" si="7"/>
        <v>975</v>
      </c>
      <c r="T21" s="30">
        <f t="shared" si="3"/>
        <v>0</v>
      </c>
      <c r="U21">
        <f t="shared" si="8"/>
        <v>0</v>
      </c>
      <c r="V21">
        <f t="shared" si="4"/>
        <v>56</v>
      </c>
      <c r="X21" t="s">
        <v>99</v>
      </c>
      <c r="Y21" s="2">
        <f>Y19/Y17</f>
        <v>115.823001246282</v>
      </c>
      <c r="Z21" s="2"/>
      <c r="AA21" s="2"/>
      <c r="AB21" s="2"/>
      <c r="AC21" s="2"/>
      <c r="AG21" s="30"/>
    </row>
    <row r="22" spans="1:33" x14ac:dyDescent="0.2">
      <c r="A22">
        <v>9</v>
      </c>
      <c r="B22">
        <f ca="1">ROUND(_xll.RiskUniform(A37,B37),0)</f>
        <v>0</v>
      </c>
      <c r="D22">
        <v>21</v>
      </c>
      <c r="E22" s="29">
        <f t="shared" ca="1" si="0"/>
        <v>-255.32561335786403</v>
      </c>
      <c r="F22" s="29">
        <f t="shared" ca="1" si="1"/>
        <v>-129.12004986423565</v>
      </c>
      <c r="G22" s="29">
        <f ca="1">_xll.RiskUniform($L$2,$M$2)</f>
        <v>85.291204737417431</v>
      </c>
      <c r="H22" s="29">
        <f ca="1">_xll.RiskUniform($L$3,$M$3)</f>
        <v>286.11738170462866</v>
      </c>
      <c r="I22" s="2">
        <f t="shared" ca="1" si="2"/>
        <v>286.11738170462866</v>
      </c>
      <c r="O22" s="18">
        <v>231.77105727777408</v>
      </c>
      <c r="T22" s="30"/>
      <c r="X22" t="s">
        <v>100</v>
      </c>
      <c r="Y22" s="2">
        <f>Y19/Y13</f>
        <v>148.420550899266</v>
      </c>
      <c r="Z22" s="2"/>
      <c r="AA22" s="2"/>
      <c r="AB22" s="2"/>
      <c r="AC22" s="2"/>
      <c r="AG22" s="30"/>
    </row>
    <row r="23" spans="1:33" x14ac:dyDescent="0.2">
      <c r="D23">
        <v>22</v>
      </c>
      <c r="E23" s="29">
        <f t="shared" ca="1" si="0"/>
        <v>-497.88067432225097</v>
      </c>
      <c r="F23" s="29">
        <f t="shared" ca="1" si="1"/>
        <v>-312.43904786140342</v>
      </c>
      <c r="G23" s="29">
        <f ca="1">_xll.RiskUniform($L$2,$M$2)</f>
        <v>135.64890642446656</v>
      </c>
      <c r="H23" s="29">
        <f ca="1">_xll.RiskUniform($L$3,$M$3)</f>
        <v>587.79530832775424</v>
      </c>
      <c r="I23" s="2">
        <f t="shared" ca="1" si="2"/>
        <v>587.79530832775424</v>
      </c>
      <c r="O23" s="18">
        <v>236.85958310112073</v>
      </c>
      <c r="T23" s="30"/>
      <c r="AG23" s="30"/>
    </row>
    <row r="24" spans="1:33" x14ac:dyDescent="0.2">
      <c r="D24">
        <v>23</v>
      </c>
      <c r="E24" s="29">
        <f t="shared" ca="1" si="0"/>
        <v>-512.18729488576491</v>
      </c>
      <c r="F24" s="29">
        <f t="shared" ca="1" si="1"/>
        <v>566.14803713142601</v>
      </c>
      <c r="G24" s="29">
        <f ca="1">_xll.RiskUniform($L$2,$M$2)</f>
        <v>316.46546077418299</v>
      </c>
      <c r="H24" s="29">
        <f ca="1">_xll.RiskUniform($L$3,$M$3)</f>
        <v>763.45230695189082</v>
      </c>
      <c r="I24" s="2">
        <f t="shared" ca="1" si="2"/>
        <v>763.45230695189071</v>
      </c>
      <c r="O24" s="18">
        <v>246.06330491696824</v>
      </c>
      <c r="T24" s="30"/>
      <c r="Y24" s="2">
        <f>AVERAGE(Y21:Y22)</f>
        <v>132.121776072774</v>
      </c>
      <c r="AG24" s="30"/>
    </row>
    <row r="25" spans="1:33" x14ac:dyDescent="0.2">
      <c r="D25">
        <v>24</v>
      </c>
      <c r="E25" s="29">
        <f t="shared" ca="1" si="0"/>
        <v>464.60179909259466</v>
      </c>
      <c r="F25" s="29">
        <f t="shared" ca="1" si="1"/>
        <v>-511.51035743791692</v>
      </c>
      <c r="G25" s="29">
        <f ca="1">_xll.RiskUniform($L$2,$M$2)</f>
        <v>61.998435326514041</v>
      </c>
      <c r="H25" s="29">
        <f ca="1">_xll.RiskUniform($L$3,$M$3)</f>
        <v>691.01206754031523</v>
      </c>
      <c r="I25" s="2">
        <f t="shared" ca="1" si="2"/>
        <v>691.01206754031523</v>
      </c>
      <c r="O25" s="18">
        <v>250.41743571671324</v>
      </c>
      <c r="T25" s="30"/>
      <c r="AG25" s="30"/>
    </row>
    <row r="26" spans="1:33" x14ac:dyDescent="0.2">
      <c r="D26">
        <v>25</v>
      </c>
      <c r="E26" s="29">
        <f t="shared" ca="1" si="0"/>
        <v>-590.8637614888213</v>
      </c>
      <c r="F26" s="29">
        <f t="shared" ca="1" si="1"/>
        <v>187.29877729219473</v>
      </c>
      <c r="G26" s="29">
        <f ca="1">_xll.RiskUniform($L$2,$M$2)</f>
        <v>9.1178064601169027</v>
      </c>
      <c r="H26" s="29">
        <f ca="1">_xll.RiskUniform($L$3,$M$3)</f>
        <v>619.83934742469341</v>
      </c>
      <c r="I26" s="2">
        <f t="shared" ca="1" si="2"/>
        <v>619.83934742469353</v>
      </c>
      <c r="O26" s="18">
        <v>255.93123845319116</v>
      </c>
      <c r="T26" s="30"/>
      <c r="AG26" s="30"/>
    </row>
    <row r="27" spans="1:33" x14ac:dyDescent="0.2">
      <c r="D27">
        <v>26</v>
      </c>
      <c r="E27" s="29">
        <f t="shared" ca="1" si="0"/>
        <v>-148.73587849455075</v>
      </c>
      <c r="F27" s="29">
        <f t="shared" ca="1" si="1"/>
        <v>-302.81722883033109</v>
      </c>
      <c r="G27" s="29">
        <f ca="1">_xll.RiskUniform($L$2,$M$2)</f>
        <v>356.11420445966894</v>
      </c>
      <c r="H27" s="29">
        <f ca="1">_xll.RiskUniform($L$3,$M$3)</f>
        <v>337.37314005123</v>
      </c>
      <c r="I27" s="2">
        <f t="shared" ca="1" si="2"/>
        <v>337.37314005123</v>
      </c>
      <c r="O27" s="18">
        <v>258.11777465709349</v>
      </c>
      <c r="T27" s="30"/>
      <c r="AG27" s="30"/>
    </row>
    <row r="28" spans="1:33" x14ac:dyDescent="0.2">
      <c r="D28">
        <v>27</v>
      </c>
      <c r="E28" s="29">
        <f t="shared" ca="1" si="0"/>
        <v>725.66371144529592</v>
      </c>
      <c r="F28" s="29">
        <f t="shared" ca="1" si="1"/>
        <v>-168.02144974098098</v>
      </c>
      <c r="G28" s="29">
        <f ca="1">_xll.RiskUniform($L$2,$M$2)</f>
        <v>156.85210049108352</v>
      </c>
      <c r="H28" s="29">
        <f ca="1">_xll.RiskUniform($L$3,$M$3)</f>
        <v>744.86175205981863</v>
      </c>
      <c r="I28" s="2">
        <f t="shared" ca="1" si="2"/>
        <v>744.86175205981851</v>
      </c>
      <c r="O28" s="18">
        <v>279.25475503011467</v>
      </c>
      <c r="T28" s="30"/>
      <c r="AG28" s="30"/>
    </row>
    <row r="29" spans="1:33" x14ac:dyDescent="0.2">
      <c r="D29">
        <v>28</v>
      </c>
      <c r="E29" s="29">
        <f t="shared" ca="1" si="0"/>
        <v>-18.661535216189716</v>
      </c>
      <c r="F29" s="29">
        <f t="shared" ca="1" si="1"/>
        <v>1.6134102382877449</v>
      </c>
      <c r="G29" s="29">
        <f ca="1">_xll.RiskUniform($L$2,$M$2)</f>
        <v>197.83409516963511</v>
      </c>
      <c r="H29" s="29">
        <f ca="1">_xll.RiskUniform($L$3,$M$3)</f>
        <v>18.731150237561511</v>
      </c>
      <c r="I29" s="2">
        <f t="shared" ca="1" si="2"/>
        <v>18.731150237561511</v>
      </c>
      <c r="O29" s="18">
        <v>316.27717455284676</v>
      </c>
      <c r="T29" s="30"/>
      <c r="AG29" s="30"/>
    </row>
    <row r="30" spans="1:33" x14ac:dyDescent="0.2">
      <c r="D30">
        <v>29</v>
      </c>
      <c r="E30" s="29">
        <f t="shared" ca="1" si="0"/>
        <v>-607.30535569754659</v>
      </c>
      <c r="F30" s="29">
        <f t="shared" ca="1" si="1"/>
        <v>479.68211011508748</v>
      </c>
      <c r="G30" s="29">
        <f ca="1">_xll.RiskUniform($L$2,$M$2)</f>
        <v>304.06596419327747</v>
      </c>
      <c r="H30" s="29">
        <f ca="1">_xll.RiskUniform($L$3,$M$3)</f>
        <v>773.89580811850021</v>
      </c>
      <c r="I30" s="2">
        <f t="shared" ca="1" si="2"/>
        <v>773.89580811850021</v>
      </c>
      <c r="O30" s="18">
        <v>318.1940369733901</v>
      </c>
    </row>
    <row r="31" spans="1:33" x14ac:dyDescent="0.2">
      <c r="D31">
        <v>30</v>
      </c>
      <c r="E31" s="29">
        <f t="shared" ca="1" si="0"/>
        <v>-320.04941929495544</v>
      </c>
      <c r="F31" s="29">
        <f t="shared" ca="1" si="1"/>
        <v>37.536031541746205</v>
      </c>
      <c r="G31" s="29">
        <f ca="1">_xll.RiskUniform($L$2,$M$2)</f>
        <v>229.21951507153349</v>
      </c>
      <c r="H31" s="29">
        <f ca="1">_xll.RiskUniform($L$3,$M$3)</f>
        <v>322.24305183345871</v>
      </c>
      <c r="I31" s="2">
        <f t="shared" ca="1" si="2"/>
        <v>322.24305183345871</v>
      </c>
      <c r="O31" s="18">
        <v>318.2133781516095</v>
      </c>
    </row>
    <row r="32" spans="1:33" x14ac:dyDescent="0.2">
      <c r="D32">
        <v>31</v>
      </c>
      <c r="E32" s="29">
        <f t="shared" ca="1" si="0"/>
        <v>183.61256827698969</v>
      </c>
      <c r="F32" s="29">
        <f t="shared" ca="1" si="1"/>
        <v>-235.14859239311141</v>
      </c>
      <c r="G32" s="29">
        <f ca="1">_xll.RiskUniform($L$2,$M$2)</f>
        <v>281.83548856723229</v>
      </c>
      <c r="H32" s="29">
        <f ca="1">_xll.RiskUniform($L$3,$M$3)</f>
        <v>298.34281579038208</v>
      </c>
      <c r="I32" s="2">
        <f t="shared" ca="1" si="2"/>
        <v>298.34281579038208</v>
      </c>
      <c r="O32" s="18">
        <v>325.79152551883442</v>
      </c>
    </row>
    <row r="33" spans="4:15" x14ac:dyDescent="0.2">
      <c r="D33">
        <v>32</v>
      </c>
      <c r="E33" s="29">
        <f t="shared" ca="1" si="0"/>
        <v>157.86959488140954</v>
      </c>
      <c r="F33" s="29">
        <f t="shared" ca="1" si="1"/>
        <v>100.42383417796907</v>
      </c>
      <c r="G33" s="29">
        <f ca="1">_xll.RiskUniform($L$2,$M$2)</f>
        <v>38.265666851719487</v>
      </c>
      <c r="H33" s="29">
        <f ca="1">_xll.RiskUniform($L$3,$M$3)</f>
        <v>187.10359552671508</v>
      </c>
      <c r="I33" s="2">
        <f t="shared" ca="1" si="2"/>
        <v>187.10359552671508</v>
      </c>
      <c r="O33" s="18">
        <v>337.81984585606074</v>
      </c>
    </row>
    <row r="34" spans="4:15" x14ac:dyDescent="0.2">
      <c r="D34">
        <v>33</v>
      </c>
      <c r="E34" s="29">
        <f t="shared" ca="1" si="0"/>
        <v>240.4423253918645</v>
      </c>
      <c r="F34" s="29">
        <f t="shared" ca="1" si="1"/>
        <v>179.72959997122751</v>
      </c>
      <c r="G34" s="29">
        <f ca="1">_xll.RiskUniform($L$2,$M$2)</f>
        <v>101.17286133248913</v>
      </c>
      <c r="H34" s="29">
        <f ca="1">_xll.RiskUniform($L$3,$M$3)</f>
        <v>300.19200679842345</v>
      </c>
      <c r="I34" s="2">
        <f t="shared" ca="1" si="2"/>
        <v>300.19200679842345</v>
      </c>
      <c r="O34" s="18">
        <v>344.25732420514595</v>
      </c>
    </row>
    <row r="35" spans="4:15" x14ac:dyDescent="0.2">
      <c r="D35">
        <v>34</v>
      </c>
      <c r="E35" s="29">
        <f t="shared" ca="1" si="0"/>
        <v>397.82194832330924</v>
      </c>
      <c r="F35" s="29">
        <f t="shared" ca="1" si="1"/>
        <v>-402.52955236829007</v>
      </c>
      <c r="G35" s="29">
        <f ca="1">_xll.RiskUniform($L$2,$M$2)</f>
        <v>118.5892408201633</v>
      </c>
      <c r="H35" s="29">
        <f ca="1">_xll.RiskUniform($L$3,$M$3)</f>
        <v>565.9437631934552</v>
      </c>
      <c r="I35" s="2">
        <f t="shared" ca="1" si="2"/>
        <v>565.9437631934552</v>
      </c>
      <c r="O35" s="18">
        <v>351.85690781101755</v>
      </c>
    </row>
    <row r="36" spans="4:15" x14ac:dyDescent="0.2">
      <c r="D36">
        <v>35</v>
      </c>
      <c r="E36" s="29">
        <f t="shared" ca="1" si="0"/>
        <v>-102.0440515520221</v>
      </c>
      <c r="F36" s="29">
        <f t="shared" ca="1" si="1"/>
        <v>-767.73626607037215</v>
      </c>
      <c r="G36" s="29">
        <f ca="1">_xll.RiskUniform($L$2,$M$2)</f>
        <v>54.845730460504072</v>
      </c>
      <c r="H36" s="29">
        <f ca="1">_xll.RiskUniform($L$3,$M$3)</f>
        <v>774.48819403321374</v>
      </c>
      <c r="I36" s="2">
        <f t="shared" ca="1" si="2"/>
        <v>774.48819403321374</v>
      </c>
      <c r="O36" s="18">
        <v>361.47949196905688</v>
      </c>
    </row>
    <row r="37" spans="4:15" x14ac:dyDescent="0.2">
      <c r="D37">
        <v>36</v>
      </c>
      <c r="E37" s="29">
        <f t="shared" ca="1" si="0"/>
        <v>-1.5029074453759421</v>
      </c>
      <c r="F37" s="29">
        <f t="shared" ca="1" si="1"/>
        <v>-799.86683003996882</v>
      </c>
      <c r="G37" s="29">
        <f ca="1">_xll.RiskUniform($L$2,$M$2)</f>
        <v>136.65740148628632</v>
      </c>
      <c r="H37" s="29">
        <f ca="1">_xll.RiskUniform($L$3,$M$3)</f>
        <v>799.86824198050124</v>
      </c>
      <c r="I37" s="2">
        <f t="shared" ca="1" si="2"/>
        <v>799.86824198050124</v>
      </c>
      <c r="O37" s="18">
        <v>368.9258975869194</v>
      </c>
    </row>
    <row r="38" spans="4:15" x14ac:dyDescent="0.2">
      <c r="D38">
        <v>37</v>
      </c>
      <c r="E38" s="29">
        <f t="shared" ca="1" si="0"/>
        <v>118.45134604442279</v>
      </c>
      <c r="F38" s="29">
        <f t="shared" ca="1" si="1"/>
        <v>337.70597252567819</v>
      </c>
      <c r="G38" s="29">
        <f ca="1">_xll.RiskUniform($L$2,$M$2)</f>
        <v>152.02989831062382</v>
      </c>
      <c r="H38" s="29">
        <f ca="1">_xll.RiskUniform($L$3,$M$3)</f>
        <v>357.87713710049945</v>
      </c>
      <c r="I38" s="2">
        <f t="shared" ca="1" si="2"/>
        <v>357.87713710049945</v>
      </c>
      <c r="O38" s="18">
        <v>376.29554343866749</v>
      </c>
    </row>
    <row r="39" spans="4:15" x14ac:dyDescent="0.2">
      <c r="D39">
        <v>38</v>
      </c>
      <c r="E39" s="29">
        <f t="shared" ca="1" si="0"/>
        <v>-69.336673436944992</v>
      </c>
      <c r="F39" s="29">
        <f t="shared" ca="1" si="1"/>
        <v>336.44286424341306</v>
      </c>
      <c r="G39" s="29">
        <f ca="1">_xll.RiskUniform($L$2,$M$2)</f>
        <v>58.322706118931592</v>
      </c>
      <c r="H39" s="29">
        <f ca="1">_xll.RiskUniform($L$3,$M$3)</f>
        <v>343.51328239765814</v>
      </c>
      <c r="I39" s="2">
        <f t="shared" ca="1" si="2"/>
        <v>343.51328239765814</v>
      </c>
      <c r="O39" s="18">
        <v>400.64262821621952</v>
      </c>
    </row>
    <row r="40" spans="4:15" x14ac:dyDescent="0.2">
      <c r="D40">
        <v>39</v>
      </c>
      <c r="E40" s="29">
        <f t="shared" ca="1" si="0"/>
        <v>502.13307348572187</v>
      </c>
      <c r="F40" s="29">
        <f t="shared" ca="1" si="1"/>
        <v>595.97373494937119</v>
      </c>
      <c r="G40" s="29">
        <f ca="1">_xll.RiskUniform($L$2,$M$2)</f>
        <v>157.95028049386033</v>
      </c>
      <c r="H40" s="29">
        <f ca="1">_xll.RiskUniform($L$3,$M$3)</f>
        <v>779.30887088350323</v>
      </c>
      <c r="I40" s="2">
        <f t="shared" ca="1" si="2"/>
        <v>779.30887088350323</v>
      </c>
      <c r="O40" s="18">
        <v>406.75377521825885</v>
      </c>
    </row>
    <row r="41" spans="4:15" x14ac:dyDescent="0.2">
      <c r="D41">
        <v>40</v>
      </c>
      <c r="E41" s="29">
        <f t="shared" ca="1" si="0"/>
        <v>333.31149342241417</v>
      </c>
      <c r="F41" s="29">
        <f t="shared" ca="1" si="1"/>
        <v>194.69429280899396</v>
      </c>
      <c r="G41" s="29">
        <f ca="1">_xll.RiskUniform($L$2,$M$2)</f>
        <v>182.74103595604151</v>
      </c>
      <c r="H41" s="29">
        <f ca="1">_xll.RiskUniform($L$3,$M$3)</f>
        <v>386.00831506571762</v>
      </c>
      <c r="I41" s="2">
        <f t="shared" ca="1" si="2"/>
        <v>386.00831506571762</v>
      </c>
      <c r="O41" s="18">
        <v>459.82860408269204</v>
      </c>
    </row>
    <row r="42" spans="4:15" x14ac:dyDescent="0.2">
      <c r="D42">
        <v>41</v>
      </c>
      <c r="E42" s="29">
        <f t="shared" ca="1" si="0"/>
        <v>-418.65789589610296</v>
      </c>
      <c r="F42" s="29">
        <f t="shared" ca="1" si="1"/>
        <v>309.65580991774186</v>
      </c>
      <c r="G42" s="29">
        <f ca="1">_xll.RiskUniform($L$2,$M$2)</f>
        <v>147.01801753593685</v>
      </c>
      <c r="H42" s="29">
        <f ca="1">_xll.RiskUniform($L$3,$M$3)</f>
        <v>520.73136492049798</v>
      </c>
      <c r="I42" s="2">
        <f t="shared" ca="1" si="2"/>
        <v>520.73136492049798</v>
      </c>
      <c r="O42" s="18">
        <v>461.83919604159564</v>
      </c>
    </row>
    <row r="43" spans="4:15" x14ac:dyDescent="0.2">
      <c r="D43">
        <v>42</v>
      </c>
      <c r="E43" s="29">
        <f t="shared" ca="1" si="0"/>
        <v>-401.68296569997415</v>
      </c>
      <c r="F43" s="29">
        <f t="shared" ca="1" si="1"/>
        <v>203.80488980047897</v>
      </c>
      <c r="G43" s="29">
        <f ca="1">_xll.RiskUniform($L$2,$M$2)</f>
        <v>297.98176993358453</v>
      </c>
      <c r="H43" s="29">
        <f ca="1">_xll.RiskUniform($L$3,$M$3)</f>
        <v>450.42828290429543</v>
      </c>
      <c r="I43" s="2">
        <f t="shared" ca="1" si="2"/>
        <v>450.42828290429543</v>
      </c>
      <c r="O43" s="18">
        <v>465.34721775248966</v>
      </c>
    </row>
    <row r="44" spans="4:15" x14ac:dyDescent="0.2">
      <c r="D44">
        <v>43</v>
      </c>
      <c r="E44" s="29">
        <f t="shared" ca="1" si="0"/>
        <v>-27.566233206285894</v>
      </c>
      <c r="F44" s="29">
        <f t="shared" ca="1" si="1"/>
        <v>-13.88594097954747</v>
      </c>
      <c r="G44" s="29">
        <f ca="1">_xll.RiskUniform($L$2,$M$2)</f>
        <v>236.08607624123985</v>
      </c>
      <c r="H44" s="29">
        <f ca="1">_xll.RiskUniform($L$3,$M$3)</f>
        <v>30.866107141504173</v>
      </c>
      <c r="I44" s="2">
        <f t="shared" ca="1" si="2"/>
        <v>30.866107141504173</v>
      </c>
      <c r="O44" s="18">
        <v>477.01048610157147</v>
      </c>
    </row>
    <row r="45" spans="4:15" x14ac:dyDescent="0.2">
      <c r="D45">
        <v>44</v>
      </c>
      <c r="E45" s="29">
        <f t="shared" ca="1" si="0"/>
        <v>108.89855188049012</v>
      </c>
      <c r="F45" s="29">
        <f t="shared" ca="1" si="1"/>
        <v>128.27033014475379</v>
      </c>
      <c r="G45" s="29">
        <f ca="1">_xll.RiskUniform($L$2,$M$2)</f>
        <v>107.68104672583721</v>
      </c>
      <c r="H45" s="29">
        <f ca="1">_xll.RiskUniform($L$3,$M$3)</f>
        <v>168.26221262396359</v>
      </c>
      <c r="I45" s="2">
        <f t="shared" ca="1" si="2"/>
        <v>168.26221262396359</v>
      </c>
      <c r="O45" s="18">
        <v>492.50754520488147</v>
      </c>
    </row>
    <row r="46" spans="4:15" x14ac:dyDescent="0.2">
      <c r="D46">
        <v>45</v>
      </c>
      <c r="E46" s="29">
        <f t="shared" ca="1" si="0"/>
        <v>716.90131027506391</v>
      </c>
      <c r="F46" s="29">
        <f t="shared" ca="1" si="1"/>
        <v>309.80514345529616</v>
      </c>
      <c r="G46" s="29">
        <f ca="1">_xll.RiskUniform($L$2,$M$2)</f>
        <v>283.15124554704897</v>
      </c>
      <c r="H46" s="29">
        <f ca="1">_xll.RiskUniform($L$3,$M$3)</f>
        <v>780.97805064256454</v>
      </c>
      <c r="I46" s="2">
        <f t="shared" ca="1" si="2"/>
        <v>780.97805064256454</v>
      </c>
      <c r="O46" s="18">
        <v>511.70703951443903</v>
      </c>
    </row>
    <row r="47" spans="4:15" x14ac:dyDescent="0.2">
      <c r="D47">
        <v>46</v>
      </c>
      <c r="E47" s="29">
        <f t="shared" ca="1" si="0"/>
        <v>55.697566869950435</v>
      </c>
      <c r="F47" s="29">
        <f t="shared" ca="1" si="1"/>
        <v>-350.9679452560992</v>
      </c>
      <c r="G47" s="29">
        <f ca="1">_xll.RiskUniform($L$2,$M$2)</f>
        <v>99.117553135890262</v>
      </c>
      <c r="H47" s="29">
        <f ca="1">_xll.RiskUniform($L$3,$M$3)</f>
        <v>355.35998304890893</v>
      </c>
      <c r="I47" s="2">
        <f t="shared" ca="1" si="2"/>
        <v>355.35998304890893</v>
      </c>
      <c r="O47" s="18">
        <v>517.21603988244931</v>
      </c>
    </row>
    <row r="48" spans="4:15" x14ac:dyDescent="0.2">
      <c r="D48">
        <v>47</v>
      </c>
      <c r="E48" s="29">
        <f t="shared" ca="1" si="0"/>
        <v>491.02847914234297</v>
      </c>
      <c r="F48" s="29">
        <f t="shared" ca="1" si="1"/>
        <v>-1.6461217645264441</v>
      </c>
      <c r="G48" s="29">
        <f ca="1">_xll.RiskUniform($L$2,$M$2)</f>
        <v>43.978944767110683</v>
      </c>
      <c r="H48" s="29">
        <f ca="1">_xll.RiskUniform($L$3,$M$3)</f>
        <v>491.03123836035724</v>
      </c>
      <c r="I48" s="2">
        <f t="shared" ca="1" si="2"/>
        <v>491.03123836035724</v>
      </c>
      <c r="O48" s="18">
        <v>603.5485873009211</v>
      </c>
    </row>
    <row r="49" spans="4:15" x14ac:dyDescent="0.2">
      <c r="D49">
        <v>48</v>
      </c>
      <c r="E49" s="29">
        <f t="shared" ca="1" si="0"/>
        <v>103.38605350370709</v>
      </c>
      <c r="F49" s="29">
        <f t="shared" ca="1" si="1"/>
        <v>145.89266479917819</v>
      </c>
      <c r="G49" s="29">
        <f ca="1">_xll.RiskUniform($L$2,$M$2)</f>
        <v>283.69763095155423</v>
      </c>
      <c r="H49" s="29">
        <f ca="1">_xll.RiskUniform($L$3,$M$3)</f>
        <v>178.81092164987226</v>
      </c>
      <c r="I49" s="2">
        <f t="shared" ca="1" si="2"/>
        <v>178.81092164987226</v>
      </c>
      <c r="O49" s="18">
        <v>643.09923139674515</v>
      </c>
    </row>
    <row r="50" spans="4:15" x14ac:dyDescent="0.2">
      <c r="D50">
        <v>49</v>
      </c>
      <c r="E50" s="29">
        <f t="shared" ca="1" si="0"/>
        <v>-100.60675607831369</v>
      </c>
      <c r="F50" s="29">
        <f t="shared" ca="1" si="1"/>
        <v>80.287695435209841</v>
      </c>
      <c r="G50" s="29">
        <f ca="1">_xll.RiskUniform($L$2,$M$2)</f>
        <v>8.7512364424474356</v>
      </c>
      <c r="H50" s="29">
        <f ca="1">_xll.RiskUniform($L$3,$M$3)</f>
        <v>128.71609614534742</v>
      </c>
      <c r="I50" s="2">
        <f t="shared" ca="1" si="2"/>
        <v>128.71609614534742</v>
      </c>
      <c r="O50" s="18">
        <v>653.75440571572699</v>
      </c>
    </row>
    <row r="51" spans="4:15" x14ac:dyDescent="0.2">
      <c r="D51">
        <v>50</v>
      </c>
      <c r="E51" s="29">
        <f t="shared" ca="1" si="0"/>
        <v>111.3814622463791</v>
      </c>
      <c r="F51" s="29">
        <f t="shared" ca="1" si="1"/>
        <v>154.41787344342376</v>
      </c>
      <c r="G51" s="29">
        <f ca="1">_xll.RiskUniform($L$2,$M$2)</f>
        <v>126.60962441907951</v>
      </c>
      <c r="H51" s="29">
        <f ca="1">_xll.RiskUniform($L$3,$M$3)</f>
        <v>190.39619158725526</v>
      </c>
      <c r="I51" s="2">
        <f t="shared" ca="1" si="2"/>
        <v>190.39619158725526</v>
      </c>
      <c r="O51" s="18">
        <v>691.20488977937725</v>
      </c>
    </row>
    <row r="52" spans="4:15" x14ac:dyDescent="0.2">
      <c r="D52">
        <v>51</v>
      </c>
      <c r="E52" s="29">
        <f t="shared" ca="1" si="0"/>
        <v>-271.25551670639544</v>
      </c>
      <c r="F52" s="29">
        <f t="shared" ca="1" si="1"/>
        <v>-165.19362494611227</v>
      </c>
      <c r="G52" s="29">
        <f ca="1">_xll.RiskUniform($L$2,$M$2)</f>
        <v>355.54697808735796</v>
      </c>
      <c r="H52" s="29">
        <f ca="1">_xll.RiskUniform($L$3,$M$3)</f>
        <v>317.59799915378937</v>
      </c>
      <c r="I52" s="2">
        <f t="shared" ca="1" si="2"/>
        <v>317.59799915378937</v>
      </c>
      <c r="O52" s="18">
        <v>702.31020851266874</v>
      </c>
    </row>
    <row r="53" spans="4:15" x14ac:dyDescent="0.2">
      <c r="D53">
        <v>52</v>
      </c>
      <c r="E53" s="29">
        <f t="shared" ca="1" si="0"/>
        <v>49.607689522433873</v>
      </c>
      <c r="F53" s="29">
        <f t="shared" ca="1" si="1"/>
        <v>27.349098589806356</v>
      </c>
      <c r="G53" s="29">
        <f ca="1">_xll.RiskUniform($L$2,$M$2)</f>
        <v>69.618884987242694</v>
      </c>
      <c r="H53" s="29">
        <f ca="1">_xll.RiskUniform($L$3,$M$3)</f>
        <v>56.647118668376621</v>
      </c>
      <c r="I53" s="2">
        <f t="shared" ca="1" si="2"/>
        <v>56.647118668376628</v>
      </c>
      <c r="O53" s="18">
        <v>732.7466879667362</v>
      </c>
    </row>
    <row r="54" spans="4:15" x14ac:dyDescent="0.2">
      <c r="D54">
        <v>53</v>
      </c>
      <c r="E54" s="29">
        <f t="shared" ca="1" si="0"/>
        <v>-123.02599399372438</v>
      </c>
      <c r="F54" s="29">
        <f t="shared" ca="1" si="1"/>
        <v>-227.13700925396793</v>
      </c>
      <c r="G54" s="29">
        <f ca="1">_xll.RiskUniform($L$2,$M$2)</f>
        <v>186.42836244022129</v>
      </c>
      <c r="H54" s="29">
        <f ca="1">_xll.RiskUniform($L$3,$M$3)</f>
        <v>258.3149553761474</v>
      </c>
      <c r="I54" s="2">
        <f t="shared" ca="1" si="2"/>
        <v>258.3149553761474</v>
      </c>
      <c r="O54" s="18">
        <v>759.87297786129466</v>
      </c>
    </row>
    <row r="55" spans="4:15" x14ac:dyDescent="0.2">
      <c r="D55">
        <v>54</v>
      </c>
      <c r="E55" s="29">
        <f t="shared" ca="1" si="0"/>
        <v>-143.24632854697947</v>
      </c>
      <c r="F55" s="29">
        <f t="shared" ca="1" si="1"/>
        <v>-177.25241033590547</v>
      </c>
      <c r="G55" s="29">
        <f ca="1">_xll.RiskUniform($L$2,$M$2)</f>
        <v>349.60789084586088</v>
      </c>
      <c r="H55" s="29">
        <f ca="1">_xll.RiskUniform($L$3,$M$3)</f>
        <v>227.89894166511039</v>
      </c>
      <c r="I55" s="2">
        <f t="shared" ca="1" si="2"/>
        <v>227.89894166511041</v>
      </c>
      <c r="O55" s="18">
        <v>770.95289299813612</v>
      </c>
    </row>
    <row r="56" spans="4:15" x14ac:dyDescent="0.2">
      <c r="D56">
        <v>55</v>
      </c>
      <c r="E56" s="29">
        <f t="shared" ca="1" si="0"/>
        <v>277.25057987980875</v>
      </c>
      <c r="F56" s="29">
        <f t="shared" ca="1" si="1"/>
        <v>145.17389640802372</v>
      </c>
      <c r="G56" s="29">
        <f ca="1">_xll.RiskUniform($L$2,$M$2)</f>
        <v>239.24340608955563</v>
      </c>
      <c r="H56" s="29">
        <f ca="1">_xll.RiskUniform($L$3,$M$3)</f>
        <v>312.95901367747473</v>
      </c>
      <c r="I56" s="2">
        <f t="shared" ca="1" si="2"/>
        <v>312.95901367747473</v>
      </c>
      <c r="O56" s="18">
        <v>788.38125432526022</v>
      </c>
    </row>
    <row r="57" spans="4:15" x14ac:dyDescent="0.2">
      <c r="D57">
        <v>56</v>
      </c>
      <c r="E57" s="29">
        <f t="shared" ca="1" si="0"/>
        <v>718.31883001910319</v>
      </c>
      <c r="F57" s="29">
        <f t="shared" ca="1" si="1"/>
        <v>-113.73207667449957</v>
      </c>
      <c r="G57" s="29">
        <f ca="1">_xll.RiskUniform($L$2,$M$2)</f>
        <v>131.78986403527247</v>
      </c>
      <c r="H57" s="29">
        <f ca="1">_xll.RiskUniform($L$3,$M$3)</f>
        <v>727.2667508037938</v>
      </c>
      <c r="I57" s="2">
        <f t="shared" ca="1" si="2"/>
        <v>727.2667508037938</v>
      </c>
      <c r="O57" s="18">
        <v>788.46283699618255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B3A9-EE31-4887-B2FE-E9A45BBED531}">
  <dimension ref="A1:AI57"/>
  <sheetViews>
    <sheetView workbookViewId="0"/>
  </sheetViews>
  <sheetFormatPr defaultRowHeight="12.75" x14ac:dyDescent="0.2"/>
  <cols>
    <col min="1" max="1" width="10.5703125" bestFit="1" customWidth="1"/>
    <col min="4" max="4" width="8.85546875" bestFit="1" customWidth="1"/>
    <col min="5" max="6" width="7.7109375" bestFit="1" customWidth="1"/>
    <col min="7" max="7" width="6.7109375" bestFit="1" customWidth="1"/>
    <col min="8" max="8" width="9.28515625" bestFit="1" customWidth="1"/>
    <col min="9" max="9" width="11.42578125" style="2" bestFit="1" customWidth="1"/>
    <col min="10" max="13" width="7.42578125" customWidth="1"/>
    <col min="14" max="14" width="8.42578125" style="18" bestFit="1" customWidth="1"/>
    <col min="15" max="15" width="13.140625" style="18" bestFit="1" customWidth="1"/>
    <col min="17" max="17" width="8.140625" bestFit="1" customWidth="1"/>
    <col min="18" max="18" width="4.7109375" bestFit="1" customWidth="1"/>
    <col min="19" max="19" width="7.140625" bestFit="1" customWidth="1"/>
    <col min="20" max="20" width="7" bestFit="1" customWidth="1"/>
    <col min="21" max="21" width="4.7109375" bestFit="1" customWidth="1"/>
    <col min="22" max="22" width="5.85546875" bestFit="1" customWidth="1"/>
    <col min="24" max="24" width="8" bestFit="1" customWidth="1"/>
    <col min="25" max="25" width="7.5703125" bestFit="1" customWidth="1"/>
    <col min="27" max="29" width="7.5703125" bestFit="1" customWidth="1"/>
    <col min="30" max="30" width="6.42578125" customWidth="1"/>
    <col min="31" max="31" width="4.7109375" bestFit="1" customWidth="1"/>
    <col min="32" max="32" width="7.140625" bestFit="1" customWidth="1"/>
    <col min="33" max="33" width="7" bestFit="1" customWidth="1"/>
    <col min="34" max="34" width="4.7109375" bestFit="1" customWidth="1"/>
    <col min="35" max="35" width="5.85546875" bestFit="1" customWidth="1"/>
  </cols>
  <sheetData>
    <row r="1" spans="1:35" x14ac:dyDescent="0.2">
      <c r="A1" s="1" t="s">
        <v>107</v>
      </c>
      <c r="D1" t="s">
        <v>69</v>
      </c>
      <c r="E1" s="29" t="s">
        <v>70</v>
      </c>
      <c r="F1" s="29" t="s">
        <v>71</v>
      </c>
      <c r="G1" s="29" t="s">
        <v>72</v>
      </c>
      <c r="H1" s="29" t="s">
        <v>73</v>
      </c>
      <c r="I1" s="2" t="s">
        <v>74</v>
      </c>
      <c r="O1" s="18" t="s">
        <v>74</v>
      </c>
      <c r="R1" t="s">
        <v>75</v>
      </c>
      <c r="S1" t="s">
        <v>76</v>
      </c>
      <c r="T1" s="30" t="s">
        <v>77</v>
      </c>
      <c r="U1" t="s">
        <v>78</v>
      </c>
      <c r="V1" t="s">
        <v>79</v>
      </c>
      <c r="Y1" s="2"/>
      <c r="Z1" s="2"/>
      <c r="AA1" s="2"/>
      <c r="AB1" s="2"/>
      <c r="AC1" s="2"/>
      <c r="AE1" t="s">
        <v>75</v>
      </c>
      <c r="AF1" t="s">
        <v>76</v>
      </c>
      <c r="AG1" s="30" t="s">
        <v>77</v>
      </c>
      <c r="AH1" t="s">
        <v>78</v>
      </c>
      <c r="AI1" t="s">
        <v>79</v>
      </c>
    </row>
    <row r="2" spans="1:35" x14ac:dyDescent="0.2">
      <c r="D2">
        <v>1</v>
      </c>
      <c r="E2" s="29">
        <f t="shared" ref="E2:E57" ca="1" si="0">H2*COS(G2)</f>
        <v>-47.061126479587102</v>
      </c>
      <c r="F2" s="29">
        <f t="shared" ref="F2:F57" ca="1" si="1">H2*SIN(G2)</f>
        <v>1340.6668665371583</v>
      </c>
      <c r="G2" s="29">
        <f ca="1">_xll.RiskUniform($L$2,$M$2)</f>
        <v>265.4996675953912</v>
      </c>
      <c r="H2" s="29">
        <f ca="1">_xll.RiskUniform($L$3,$M$3)</f>
        <v>1341.4926002986711</v>
      </c>
      <c r="I2" s="2">
        <f ca="1">SQRT(E2^2+F2^2)</f>
        <v>1341.4926002986713</v>
      </c>
      <c r="K2" t="s">
        <v>80</v>
      </c>
      <c r="L2">
        <v>0</v>
      </c>
      <c r="M2">
        <v>360</v>
      </c>
      <c r="O2" s="18">
        <v>57.769311320958039</v>
      </c>
      <c r="R2">
        <v>50</v>
      </c>
      <c r="S2">
        <f>25</f>
        <v>25</v>
      </c>
      <c r="T2" s="30">
        <f>U2/$V$49</f>
        <v>0</v>
      </c>
      <c r="U2">
        <f>V2</f>
        <v>0</v>
      </c>
      <c r="V2">
        <f>COUNTIF(O:O,"&lt;="&amp;R2)</f>
        <v>0</v>
      </c>
      <c r="X2" s="31" t="s">
        <v>23</v>
      </c>
      <c r="Y2" s="2">
        <f>V49</f>
        <v>56</v>
      </c>
      <c r="Z2" s="2"/>
      <c r="AA2" s="2"/>
      <c r="AB2" s="2"/>
      <c r="AC2" s="2"/>
      <c r="AE2">
        <v>350</v>
      </c>
      <c r="AF2">
        <f>AE2/2</f>
        <v>175</v>
      </c>
      <c r="AG2" s="30">
        <f>AH2/$AI$8</f>
        <v>0.25</v>
      </c>
      <c r="AH2">
        <f>AI2</f>
        <v>14</v>
      </c>
      <c r="AI2">
        <f>COUNTIF(O:O,"&lt;="&amp;AE2)</f>
        <v>14</v>
      </c>
    </row>
    <row r="3" spans="1:35" x14ac:dyDescent="0.2">
      <c r="D3">
        <v>2</v>
      </c>
      <c r="E3" s="29">
        <f t="shared" ca="1" si="0"/>
        <v>1239.6585702416328</v>
      </c>
      <c r="F3" s="29">
        <f t="shared" ca="1" si="1"/>
        <v>-762.64665150727444</v>
      </c>
      <c r="G3" s="29">
        <f ca="1">_xll.RiskUniform($L$2,$M$2)</f>
        <v>225.64314490190361</v>
      </c>
      <c r="H3" s="29">
        <f ca="1">_xll.RiskUniform($L$3,$M$3)</f>
        <v>1455.4666900443951</v>
      </c>
      <c r="I3" s="2">
        <f t="shared" ref="I3:I57" ca="1" si="2">SQRT(E3^2+F3^2)</f>
        <v>1455.4666900443951</v>
      </c>
      <c r="K3" t="s">
        <v>81</v>
      </c>
      <c r="L3">
        <v>0</v>
      </c>
      <c r="M3">
        <v>2400</v>
      </c>
      <c r="O3" s="18">
        <v>72.212421290715767</v>
      </c>
      <c r="R3">
        <v>100</v>
      </c>
      <c r="S3">
        <f>S2+50</f>
        <v>75</v>
      </c>
      <c r="T3" s="30">
        <f t="shared" ref="T3:T49" si="3">U3/$V$49</f>
        <v>7.1428571428571425E-2</v>
      </c>
      <c r="U3">
        <f>V3-V2</f>
        <v>4</v>
      </c>
      <c r="V3">
        <f t="shared" ref="V3:V49" si="4">COUNTIF(O:O,"&lt;="&amp;R3)</f>
        <v>4</v>
      </c>
      <c r="X3" s="31" t="s">
        <v>82</v>
      </c>
      <c r="Y3" s="2">
        <f>STDEV(O:O)</f>
        <v>707.39017592897778</v>
      </c>
      <c r="Z3" s="2"/>
      <c r="AA3" s="2"/>
      <c r="AB3" s="2"/>
      <c r="AC3" s="2"/>
      <c r="AE3">
        <f>AE2+$AE$2</f>
        <v>700</v>
      </c>
      <c r="AF3">
        <f>AF2+$AE$2</f>
        <v>525</v>
      </c>
      <c r="AG3" s="30">
        <f t="shared" ref="AG3:AG9" si="5">AH3/$AI$8</f>
        <v>0.10714285714285714</v>
      </c>
      <c r="AH3">
        <f>AI3-AI2</f>
        <v>6</v>
      </c>
      <c r="AI3">
        <f t="shared" ref="AI3:AI9" si="6">COUNTIF(O:O,"&lt;="&amp;AE3)</f>
        <v>20</v>
      </c>
    </row>
    <row r="4" spans="1:35" x14ac:dyDescent="0.2">
      <c r="A4">
        <f>9*150</f>
        <v>1350</v>
      </c>
      <c r="D4">
        <v>3</v>
      </c>
      <c r="E4" s="29">
        <f t="shared" ca="1" si="0"/>
        <v>-417.37258869446106</v>
      </c>
      <c r="F4" s="29">
        <f t="shared" ca="1" si="1"/>
        <v>-1132.1046773385897</v>
      </c>
      <c r="G4" s="29">
        <f ca="1">_xll.RiskUniform($L$2,$M$2)</f>
        <v>199.13792428195816</v>
      </c>
      <c r="H4" s="29">
        <f ca="1">_xll.RiskUniform($L$3,$M$3)</f>
        <v>1206.5906009270204</v>
      </c>
      <c r="I4" s="2">
        <f t="shared" ca="1" si="2"/>
        <v>1206.5906009270202</v>
      </c>
      <c r="O4" s="18">
        <v>79.514679856076228</v>
      </c>
      <c r="R4">
        <v>150</v>
      </c>
      <c r="S4">
        <f t="shared" ref="S4:S49" si="7">S3+50</f>
        <v>125</v>
      </c>
      <c r="T4" s="30">
        <f t="shared" si="3"/>
        <v>5.3571428571428568E-2</v>
      </c>
      <c r="U4">
        <f t="shared" ref="U4:U49" si="8">V4-V3</f>
        <v>3</v>
      </c>
      <c r="V4">
        <f t="shared" si="4"/>
        <v>7</v>
      </c>
      <c r="X4" s="31" t="s">
        <v>83</v>
      </c>
      <c r="Y4" s="2">
        <f>MAX(O:O)-MIN(O:O)</f>
        <v>2341.5438435618225</v>
      </c>
      <c r="Z4" s="2"/>
      <c r="AA4" s="2" t="s">
        <v>84</v>
      </c>
      <c r="AB4" s="2" t="s">
        <v>85</v>
      </c>
      <c r="AC4" s="2" t="s">
        <v>86</v>
      </c>
      <c r="AE4">
        <f t="shared" ref="AE4:AF9" si="9">AE3+$AE$2</f>
        <v>1050</v>
      </c>
      <c r="AF4">
        <f t="shared" si="9"/>
        <v>875</v>
      </c>
      <c r="AG4" s="30">
        <f t="shared" si="5"/>
        <v>0.19642857142857142</v>
      </c>
      <c r="AH4">
        <f t="shared" ref="AH4:AH9" si="10">AI4-AI3</f>
        <v>11</v>
      </c>
      <c r="AI4">
        <f t="shared" si="6"/>
        <v>31</v>
      </c>
    </row>
    <row r="5" spans="1:35" x14ac:dyDescent="0.2">
      <c r="A5">
        <v>0.01</v>
      </c>
      <c r="D5">
        <v>4</v>
      </c>
      <c r="E5" s="29">
        <f t="shared" ca="1" si="0"/>
        <v>1673.7527388365545</v>
      </c>
      <c r="F5" s="29">
        <f t="shared" ca="1" si="1"/>
        <v>-1551.0456437721991</v>
      </c>
      <c r="G5" s="29">
        <f ca="1">_xll.RiskUniform($L$2,$M$2)</f>
        <v>99.783599493361407</v>
      </c>
      <c r="H5" s="29">
        <f ca="1">_xll.RiskUniform($L$3,$M$3)</f>
        <v>2281.9269970416631</v>
      </c>
      <c r="I5" s="2">
        <f t="shared" ca="1" si="2"/>
        <v>2281.9269970416631</v>
      </c>
      <c r="O5" s="18">
        <v>97.50887137532294</v>
      </c>
      <c r="R5">
        <v>200</v>
      </c>
      <c r="S5">
        <f t="shared" si="7"/>
        <v>175</v>
      </c>
      <c r="T5" s="30">
        <f t="shared" si="3"/>
        <v>0</v>
      </c>
      <c r="U5">
        <f t="shared" si="8"/>
        <v>0</v>
      </c>
      <c r="V5">
        <f t="shared" si="4"/>
        <v>7</v>
      </c>
      <c r="X5" s="31" t="s">
        <v>87</v>
      </c>
      <c r="Y5" s="2">
        <f>AC5-AC6</f>
        <v>1254.8088646596243</v>
      </c>
      <c r="Z5" s="2"/>
      <c r="AA5" s="2" cm="1">
        <f t="array" ref="AA5">INDEX($O$2:$O$57,ROUND(Y10,0))</f>
        <v>1563.179609502954</v>
      </c>
      <c r="AB5" s="2" cm="1">
        <f t="array" ref="AB5">INDEX($O$2:$O$57,ROUND(Y10,0)+1)</f>
        <v>1632.8767153731624</v>
      </c>
      <c r="AC5" s="2">
        <f>AVERAGE(AA5:AB5)</f>
        <v>1598.0281624380582</v>
      </c>
      <c r="AE5">
        <f t="shared" si="9"/>
        <v>1400</v>
      </c>
      <c r="AF5">
        <f t="shared" si="9"/>
        <v>1225</v>
      </c>
      <c r="AG5" s="30">
        <f t="shared" si="5"/>
        <v>0.10714285714285714</v>
      </c>
      <c r="AH5">
        <f t="shared" si="10"/>
        <v>6</v>
      </c>
      <c r="AI5">
        <f t="shared" si="6"/>
        <v>37</v>
      </c>
    </row>
    <row r="6" spans="1:35" x14ac:dyDescent="0.2">
      <c r="A6">
        <v>0.03</v>
      </c>
      <c r="D6">
        <v>5</v>
      </c>
      <c r="E6" s="29">
        <f t="shared" ca="1" si="0"/>
        <v>-1291.9013851300369</v>
      </c>
      <c r="F6" s="29">
        <f t="shared" ca="1" si="1"/>
        <v>1742.1439645493861</v>
      </c>
      <c r="G6" s="29">
        <f ca="1">_xll.RiskUniform($L$2,$M$2)</f>
        <v>109.0230230673464</v>
      </c>
      <c r="H6" s="29">
        <f ca="1">_xll.RiskUniform($L$3,$M$3)</f>
        <v>2168.8879136822079</v>
      </c>
      <c r="I6" s="2">
        <f t="shared" ca="1" si="2"/>
        <v>2168.8879136822079</v>
      </c>
      <c r="O6" s="18">
        <v>109.19952976808415</v>
      </c>
      <c r="R6">
        <v>250</v>
      </c>
      <c r="S6">
        <f t="shared" si="7"/>
        <v>225</v>
      </c>
      <c r="T6" s="30">
        <f t="shared" si="3"/>
        <v>3.5714285714285712E-2</v>
      </c>
      <c r="U6">
        <f t="shared" si="8"/>
        <v>2</v>
      </c>
      <c r="V6">
        <f t="shared" si="4"/>
        <v>9</v>
      </c>
      <c r="Y6" s="2"/>
      <c r="Z6" s="2"/>
      <c r="AA6" s="2" cm="1">
        <f t="array" ref="AA6">INDEX($O$2:$O$57,ROUND(Y9,0))</f>
        <v>327.74577798931659</v>
      </c>
      <c r="AB6" s="2" cm="1">
        <f t="array" ref="AB6">INDEX($O$2:$O$57,ROUND(Y9,0)+1)</f>
        <v>358.69281756755106</v>
      </c>
      <c r="AC6" s="2">
        <f>AVERAGE(AA6:AB6)</f>
        <v>343.21929777843383</v>
      </c>
      <c r="AE6">
        <f t="shared" si="9"/>
        <v>1750</v>
      </c>
      <c r="AF6">
        <f t="shared" si="9"/>
        <v>1575</v>
      </c>
      <c r="AG6" s="30">
        <f t="shared" si="5"/>
        <v>0.125</v>
      </c>
      <c r="AH6">
        <f t="shared" si="10"/>
        <v>7</v>
      </c>
      <c r="AI6">
        <f t="shared" si="6"/>
        <v>44</v>
      </c>
    </row>
    <row r="7" spans="1:35" x14ac:dyDescent="0.2">
      <c r="D7">
        <v>6</v>
      </c>
      <c r="E7" s="29">
        <f t="shared" ca="1" si="0"/>
        <v>-656.6800391074861</v>
      </c>
      <c r="F7" s="29">
        <f t="shared" ca="1" si="1"/>
        <v>145.992937718646</v>
      </c>
      <c r="G7" s="29">
        <f ca="1">_xll.RiskUniform($L$2,$M$2)</f>
        <v>178.85201937882175</v>
      </c>
      <c r="H7" s="29">
        <f ca="1">_xll.RiskUniform($L$3,$M$3)</f>
        <v>672.71287458018071</v>
      </c>
      <c r="I7" s="2">
        <f t="shared" ca="1" si="2"/>
        <v>672.71287458018071</v>
      </c>
      <c r="O7" s="18">
        <v>115.10315822702653</v>
      </c>
      <c r="R7">
        <v>300</v>
      </c>
      <c r="S7">
        <f t="shared" si="7"/>
        <v>275</v>
      </c>
      <c r="T7" s="30">
        <f t="shared" si="3"/>
        <v>1.7857142857142856E-2</v>
      </c>
      <c r="U7">
        <f t="shared" si="8"/>
        <v>1</v>
      </c>
      <c r="V7">
        <f t="shared" si="4"/>
        <v>10</v>
      </c>
      <c r="Y7" s="2"/>
      <c r="Z7" s="2"/>
      <c r="AA7" s="2"/>
      <c r="AB7" s="2"/>
      <c r="AC7" s="2"/>
      <c r="AE7">
        <f t="shared" si="9"/>
        <v>2100</v>
      </c>
      <c r="AF7">
        <f t="shared" si="9"/>
        <v>1925</v>
      </c>
      <c r="AG7" s="30">
        <f t="shared" si="5"/>
        <v>0.16071428571428573</v>
      </c>
      <c r="AH7">
        <f t="shared" si="10"/>
        <v>9</v>
      </c>
      <c r="AI7">
        <f t="shared" si="6"/>
        <v>53</v>
      </c>
    </row>
    <row r="8" spans="1:35" x14ac:dyDescent="0.2">
      <c r="A8" t="s">
        <v>88</v>
      </c>
      <c r="B8">
        <v>2.4</v>
      </c>
      <c r="D8">
        <v>7</v>
      </c>
      <c r="E8" s="29">
        <f t="shared" ca="1" si="0"/>
        <v>-1041.1172368265763</v>
      </c>
      <c r="F8" s="29">
        <f t="shared" ca="1" si="1"/>
        <v>819.19068559948596</v>
      </c>
      <c r="G8" s="29">
        <f ca="1">_xll.RiskUniform($L$2,$M$2)</f>
        <v>153.27137633089495</v>
      </c>
      <c r="H8" s="29">
        <f ca="1">_xll.RiskUniform($L$3,$M$3)</f>
        <v>1324.7635563338695</v>
      </c>
      <c r="I8" s="2">
        <f t="shared" ca="1" si="2"/>
        <v>1324.7635563338695</v>
      </c>
      <c r="O8" s="18">
        <v>124.31467115261574</v>
      </c>
      <c r="R8">
        <v>350</v>
      </c>
      <c r="S8">
        <f t="shared" si="7"/>
        <v>325</v>
      </c>
      <c r="T8" s="30">
        <f t="shared" si="3"/>
        <v>7.1428571428571425E-2</v>
      </c>
      <c r="U8">
        <f t="shared" si="8"/>
        <v>4</v>
      </c>
      <c r="V8">
        <f t="shared" si="4"/>
        <v>14</v>
      </c>
      <c r="Y8" s="2"/>
      <c r="Z8" s="2"/>
      <c r="AA8" s="2"/>
      <c r="AB8" s="2"/>
      <c r="AC8" s="2"/>
      <c r="AE8">
        <f t="shared" si="9"/>
        <v>2450</v>
      </c>
      <c r="AF8">
        <f t="shared" si="9"/>
        <v>2275</v>
      </c>
      <c r="AG8" s="30">
        <f t="shared" si="5"/>
        <v>5.3571428571428568E-2</v>
      </c>
      <c r="AH8">
        <f t="shared" si="10"/>
        <v>3</v>
      </c>
      <c r="AI8">
        <f t="shared" si="6"/>
        <v>56</v>
      </c>
    </row>
    <row r="9" spans="1:35" x14ac:dyDescent="0.2">
      <c r="B9" s="2"/>
      <c r="D9">
        <v>8</v>
      </c>
      <c r="E9" s="29">
        <f t="shared" ca="1" si="0"/>
        <v>-1.2527962864947007</v>
      </c>
      <c r="F9" s="29">
        <f t="shared" ca="1" si="1"/>
        <v>-9.4919195829258403</v>
      </c>
      <c r="G9" s="29">
        <f ca="1">_xll.RiskUniform($L$2,$M$2)</f>
        <v>224.49264766753123</v>
      </c>
      <c r="H9" s="29">
        <f ca="1">_xll.RiskUniform($L$3,$M$3)</f>
        <v>9.5742381370104823</v>
      </c>
      <c r="I9" s="2">
        <f t="shared" ca="1" si="2"/>
        <v>9.5742381370104841</v>
      </c>
      <c r="O9" s="18">
        <v>231.62029417302747</v>
      </c>
      <c r="R9">
        <v>400</v>
      </c>
      <c r="S9">
        <f t="shared" si="7"/>
        <v>375</v>
      </c>
      <c r="T9" s="30">
        <f t="shared" si="3"/>
        <v>3.5714285714285712E-2</v>
      </c>
      <c r="U9">
        <f t="shared" si="8"/>
        <v>2</v>
      </c>
      <c r="V9">
        <f t="shared" si="4"/>
        <v>16</v>
      </c>
      <c r="X9" t="s">
        <v>89</v>
      </c>
      <c r="Y9" s="2">
        <f>Y2/4</f>
        <v>14</v>
      </c>
      <c r="Z9" s="2"/>
      <c r="AA9" s="2"/>
      <c r="AB9" s="2"/>
      <c r="AC9" s="2"/>
      <c r="AE9">
        <f t="shared" si="9"/>
        <v>2800</v>
      </c>
      <c r="AF9">
        <f t="shared" si="9"/>
        <v>2625</v>
      </c>
      <c r="AG9" s="30">
        <f t="shared" si="5"/>
        <v>0</v>
      </c>
      <c r="AH9">
        <f t="shared" si="10"/>
        <v>0</v>
      </c>
      <c r="AI9">
        <f t="shared" si="6"/>
        <v>56</v>
      </c>
    </row>
    <row r="10" spans="1:35" x14ac:dyDescent="0.2">
      <c r="D10">
        <v>9</v>
      </c>
      <c r="E10" s="29">
        <f t="shared" ca="1" si="0"/>
        <v>-1001.5206796391138</v>
      </c>
      <c r="F10" s="29">
        <f t="shared" ca="1" si="1"/>
        <v>93.608262522809881</v>
      </c>
      <c r="G10" s="29">
        <f ca="1">_xll.RiskUniform($L$2,$M$2)</f>
        <v>141.27847403410738</v>
      </c>
      <c r="H10" s="29">
        <f ca="1">_xll.RiskUniform($L$3,$M$3)</f>
        <v>1005.8857681453355</v>
      </c>
      <c r="I10" s="2">
        <f t="shared" ca="1" si="2"/>
        <v>1005.8857681453355</v>
      </c>
      <c r="K10" t="s">
        <v>90</v>
      </c>
      <c r="L10" s="2">
        <f ca="1">AVERAGE(I:I)</f>
        <v>1223.1778468736666</v>
      </c>
      <c r="O10" s="18">
        <v>246.78829059757498</v>
      </c>
      <c r="R10">
        <v>450</v>
      </c>
      <c r="S10">
        <f t="shared" si="7"/>
        <v>425</v>
      </c>
      <c r="T10" s="30">
        <f t="shared" si="3"/>
        <v>1.7857142857142856E-2</v>
      </c>
      <c r="U10">
        <f t="shared" si="8"/>
        <v>1</v>
      </c>
      <c r="V10">
        <f t="shared" si="4"/>
        <v>17</v>
      </c>
      <c r="Y10" s="2">
        <f>3*Y9</f>
        <v>42</v>
      </c>
      <c r="Z10" s="2"/>
      <c r="AA10" s="2"/>
      <c r="AB10" s="2"/>
      <c r="AC10" s="2"/>
      <c r="AG10" s="30"/>
    </row>
    <row r="11" spans="1:35" x14ac:dyDescent="0.2">
      <c r="D11">
        <v>10</v>
      </c>
      <c r="E11" s="29">
        <f t="shared" ca="1" si="0"/>
        <v>172.24383248360803</v>
      </c>
      <c r="F11" s="29">
        <f t="shared" ca="1" si="1"/>
        <v>341.61932849119069</v>
      </c>
      <c r="G11" s="29">
        <f ca="1">_xll.RiskUniform($L$2,$M$2)</f>
        <v>107.91794606499229</v>
      </c>
      <c r="H11" s="29">
        <f ca="1">_xll.RiskUniform($L$3,$M$3)</f>
        <v>382.58555046866746</v>
      </c>
      <c r="I11" s="2">
        <f t="shared" ca="1" si="2"/>
        <v>382.58555046866741</v>
      </c>
      <c r="K11" t="s">
        <v>91</v>
      </c>
      <c r="L11" s="2">
        <f ca="1">MIN(I:I)</f>
        <v>9.5742381370104841</v>
      </c>
      <c r="O11" s="18">
        <v>275.14641766471482</v>
      </c>
      <c r="R11">
        <v>500</v>
      </c>
      <c r="S11">
        <f t="shared" si="7"/>
        <v>475</v>
      </c>
      <c r="T11" s="30">
        <f t="shared" si="3"/>
        <v>0</v>
      </c>
      <c r="U11">
        <f t="shared" si="8"/>
        <v>0</v>
      </c>
      <c r="V11">
        <f t="shared" si="4"/>
        <v>17</v>
      </c>
      <c r="Y11" s="2"/>
      <c r="Z11" s="2"/>
      <c r="AA11" s="2"/>
      <c r="AB11" s="2"/>
      <c r="AC11" s="2"/>
      <c r="AG11" s="30"/>
    </row>
    <row r="12" spans="1:35" x14ac:dyDescent="0.2">
      <c r="D12">
        <v>11</v>
      </c>
      <c r="E12" s="29">
        <f t="shared" ca="1" si="0"/>
        <v>762.1102823211919</v>
      </c>
      <c r="F12" s="29">
        <f t="shared" ca="1" si="1"/>
        <v>361.62528196375445</v>
      </c>
      <c r="G12" s="29">
        <f ca="1">_xll.RiskUniform($L$2,$M$2)</f>
        <v>283.18638335902023</v>
      </c>
      <c r="H12" s="29">
        <f ca="1">_xll.RiskUniform($L$3,$M$3)</f>
        <v>843.55493417740831</v>
      </c>
      <c r="I12" s="2">
        <f t="shared" ca="1" si="2"/>
        <v>843.55493417740831</v>
      </c>
      <c r="K12" t="s">
        <v>92</v>
      </c>
      <c r="L12" s="2">
        <f ca="1">MAX(I:I)</f>
        <v>2373.3962402773354</v>
      </c>
      <c r="O12" s="18">
        <v>304.38458244188269</v>
      </c>
      <c r="R12">
        <v>550</v>
      </c>
      <c r="S12">
        <f t="shared" si="7"/>
        <v>525</v>
      </c>
      <c r="T12" s="30">
        <f t="shared" si="3"/>
        <v>1.7857142857142856E-2</v>
      </c>
      <c r="U12">
        <f t="shared" si="8"/>
        <v>1</v>
      </c>
      <c r="V12">
        <f t="shared" si="4"/>
        <v>18</v>
      </c>
      <c r="Y12" s="2"/>
      <c r="Z12" s="2"/>
      <c r="AA12" s="2"/>
      <c r="AB12" s="2"/>
      <c r="AC12" s="2"/>
      <c r="AG12" s="30"/>
    </row>
    <row r="13" spans="1:35" x14ac:dyDescent="0.2">
      <c r="A13" t="s">
        <v>93</v>
      </c>
      <c r="D13">
        <v>12</v>
      </c>
      <c r="E13" s="29">
        <f t="shared" ca="1" si="0"/>
        <v>-1765.6510855823278</v>
      </c>
      <c r="F13" s="29">
        <f t="shared" ca="1" si="1"/>
        <v>-822.16253145882899</v>
      </c>
      <c r="G13" s="29">
        <f ca="1">_xll.RiskUniform($L$2,$M$2)</f>
        <v>135.52427008236486</v>
      </c>
      <c r="H13" s="29">
        <f ca="1">_xll.RiskUniform($L$3,$M$3)</f>
        <v>1947.6845186407481</v>
      </c>
      <c r="I13" s="2">
        <f t="shared" ca="1" si="2"/>
        <v>1947.6845186407481</v>
      </c>
      <c r="O13" s="18">
        <v>325.95754349254474</v>
      </c>
      <c r="R13">
        <v>600</v>
      </c>
      <c r="S13">
        <f t="shared" si="7"/>
        <v>575</v>
      </c>
      <c r="T13" s="30">
        <f t="shared" si="3"/>
        <v>1.7857142857142856E-2</v>
      </c>
      <c r="U13">
        <f t="shared" si="8"/>
        <v>1</v>
      </c>
      <c r="V13">
        <f t="shared" si="4"/>
        <v>19</v>
      </c>
      <c r="X13" s="32" t="s">
        <v>94</v>
      </c>
      <c r="Y13" s="33">
        <f>(Y2^0.333*Y4)/(2*Y5)</f>
        <v>3.5648505965034767</v>
      </c>
      <c r="Z13" s="2"/>
      <c r="AA13" s="2"/>
      <c r="AB13" s="2"/>
      <c r="AC13" s="2"/>
      <c r="AG13" s="30"/>
    </row>
    <row r="14" spans="1:35" x14ac:dyDescent="0.2">
      <c r="A14">
        <v>1</v>
      </c>
      <c r="B14">
        <f ca="1">ROUND(_xll.RiskUniform(A29,B29),0)</f>
        <v>0</v>
      </c>
      <c r="D14">
        <v>13</v>
      </c>
      <c r="E14" s="29">
        <f t="shared" ca="1" si="0"/>
        <v>-886.70847703224888</v>
      </c>
      <c r="F14" s="29">
        <f t="shared" ca="1" si="1"/>
        <v>-545.13151914175535</v>
      </c>
      <c r="G14" s="29">
        <f ca="1">_xll.RiskUniform($L$2,$M$2)</f>
        <v>60.24147746316693</v>
      </c>
      <c r="H14" s="29">
        <f ca="1">_xll.RiskUniform($L$3,$M$3)</f>
        <v>1040.8747746019442</v>
      </c>
      <c r="I14" s="2">
        <f t="shared" ca="1" si="2"/>
        <v>1040.8747746019442</v>
      </c>
      <c r="K14" t="s">
        <v>95</v>
      </c>
      <c r="L14">
        <f ca="1">COUNTIF(I:I,"&lt;400")</f>
        <v>6</v>
      </c>
      <c r="O14" s="18">
        <v>327.1396473859096</v>
      </c>
      <c r="R14">
        <v>650</v>
      </c>
      <c r="S14">
        <f t="shared" si="7"/>
        <v>625</v>
      </c>
      <c r="T14" s="30">
        <f t="shared" si="3"/>
        <v>0</v>
      </c>
      <c r="U14">
        <f t="shared" si="8"/>
        <v>0</v>
      </c>
      <c r="V14">
        <f t="shared" si="4"/>
        <v>19</v>
      </c>
      <c r="Y14" s="2"/>
      <c r="Z14" s="2"/>
      <c r="AA14" s="2"/>
      <c r="AB14" s="2"/>
      <c r="AC14" s="2"/>
      <c r="AG14" s="30"/>
    </row>
    <row r="15" spans="1:35" x14ac:dyDescent="0.2">
      <c r="A15">
        <v>2</v>
      </c>
      <c r="B15">
        <f ca="1">ROUND(_xll.RiskUniform(A30,B30),0)</f>
        <v>0</v>
      </c>
      <c r="D15">
        <v>14</v>
      </c>
      <c r="E15" s="29">
        <f t="shared" ca="1" si="0"/>
        <v>-576.6879728349785</v>
      </c>
      <c r="F15" s="29">
        <f t="shared" ca="1" si="1"/>
        <v>345.70085644800849</v>
      </c>
      <c r="G15" s="29">
        <f ca="1">_xll.RiskUniform($L$2,$M$2)</f>
        <v>40.300682807722346</v>
      </c>
      <c r="H15" s="29">
        <f ca="1">_xll.RiskUniform($L$3,$M$3)</f>
        <v>672.3675335420379</v>
      </c>
      <c r="I15" s="2">
        <f t="shared" ca="1" si="2"/>
        <v>672.3675335420379</v>
      </c>
      <c r="L15">
        <f ca="1">L14/56</f>
        <v>0.10714285714285714</v>
      </c>
      <c r="O15" s="18">
        <v>327.74577798931659</v>
      </c>
      <c r="R15">
        <v>700</v>
      </c>
      <c r="S15">
        <f t="shared" si="7"/>
        <v>675</v>
      </c>
      <c r="T15" s="30">
        <f t="shared" si="3"/>
        <v>1.7857142857142856E-2</v>
      </c>
      <c r="U15">
        <f t="shared" si="8"/>
        <v>1</v>
      </c>
      <c r="V15">
        <f t="shared" si="4"/>
        <v>20</v>
      </c>
      <c r="Y15" s="2"/>
      <c r="Z15" s="2"/>
      <c r="AA15" s="2"/>
      <c r="AB15" s="2"/>
      <c r="AC15" s="2"/>
      <c r="AG15" s="30"/>
    </row>
    <row r="16" spans="1:35" x14ac:dyDescent="0.2">
      <c r="A16">
        <v>3</v>
      </c>
      <c r="B16">
        <f ca="1">ROUND(_xll.RiskUniform(A31,B31),0)</f>
        <v>0</v>
      </c>
      <c r="D16">
        <v>15</v>
      </c>
      <c r="E16" s="29">
        <f t="shared" ca="1" si="0"/>
        <v>-698.70514336189979</v>
      </c>
      <c r="F16" s="29">
        <f t="shared" ca="1" si="1"/>
        <v>1934.4864529493598</v>
      </c>
      <c r="G16" s="29">
        <f ca="1">_xll.RiskUniform($L$2,$M$2)</f>
        <v>45.899696632286911</v>
      </c>
      <c r="H16" s="29">
        <f ca="1">_xll.RiskUniform($L$3,$M$3)</f>
        <v>2056.8001152287425</v>
      </c>
      <c r="I16" s="2">
        <f t="shared" ca="1" si="2"/>
        <v>2056.8001152287425</v>
      </c>
      <c r="O16" s="18">
        <v>358.69281756755106</v>
      </c>
      <c r="R16">
        <v>750</v>
      </c>
      <c r="S16">
        <f t="shared" si="7"/>
        <v>725</v>
      </c>
      <c r="T16" s="30">
        <f t="shared" si="3"/>
        <v>0</v>
      </c>
      <c r="U16">
        <f t="shared" si="8"/>
        <v>0</v>
      </c>
      <c r="V16">
        <f t="shared" si="4"/>
        <v>20</v>
      </c>
      <c r="Y16" s="2"/>
      <c r="Z16" s="2"/>
      <c r="AA16" s="2"/>
      <c r="AB16" s="2"/>
      <c r="AC16" s="2"/>
      <c r="AG16" s="30"/>
    </row>
    <row r="17" spans="1:33" x14ac:dyDescent="0.2">
      <c r="A17">
        <v>4</v>
      </c>
      <c r="B17">
        <f ca="1">ROUND(_xll.RiskUniform(A32,B32),0)</f>
        <v>0</v>
      </c>
      <c r="D17">
        <v>16</v>
      </c>
      <c r="E17" s="29">
        <f t="shared" ca="1" si="0"/>
        <v>198.85962926469483</v>
      </c>
      <c r="F17" s="29">
        <f t="shared" ca="1" si="1"/>
        <v>510.80227150047807</v>
      </c>
      <c r="G17" s="29">
        <f ca="1">_xll.RiskUniform($L$2,$M$2)</f>
        <v>252.5269529515495</v>
      </c>
      <c r="H17" s="29">
        <f ca="1">_xll.RiskUniform($L$3,$M$3)</f>
        <v>548.14606878216318</v>
      </c>
      <c r="I17" s="2">
        <f t="shared" ca="1" si="2"/>
        <v>548.14606878216318</v>
      </c>
      <c r="K17" t="s">
        <v>96</v>
      </c>
      <c r="L17">
        <f ca="1">COUNTIF(I:I,"&lt;1200")</f>
        <v>27</v>
      </c>
      <c r="O17" s="18">
        <v>372.64878907508484</v>
      </c>
      <c r="R17">
        <v>800</v>
      </c>
      <c r="S17">
        <f t="shared" si="7"/>
        <v>775</v>
      </c>
      <c r="T17" s="30">
        <f t="shared" si="3"/>
        <v>7.1428571428571425E-2</v>
      </c>
      <c r="U17">
        <f t="shared" si="8"/>
        <v>4</v>
      </c>
      <c r="V17">
        <f t="shared" si="4"/>
        <v>24</v>
      </c>
      <c r="X17" s="32" t="s">
        <v>97</v>
      </c>
      <c r="Y17" s="33">
        <f>1+3.322*LOG(Y2)</f>
        <v>6.8074806257145983</v>
      </c>
      <c r="Z17" s="2"/>
      <c r="AA17" s="2"/>
      <c r="AB17" s="2"/>
      <c r="AC17" s="2"/>
      <c r="AG17" s="30"/>
    </row>
    <row r="18" spans="1:33" x14ac:dyDescent="0.2">
      <c r="A18">
        <v>5</v>
      </c>
      <c r="B18">
        <f ca="1">ROUND(_xll.RiskUniform(A33,B33),0)</f>
        <v>0</v>
      </c>
      <c r="D18">
        <v>17</v>
      </c>
      <c r="E18" s="29">
        <f t="shared" ca="1" si="0"/>
        <v>-1449.3267995472925</v>
      </c>
      <c r="F18" s="29">
        <f t="shared" ca="1" si="1"/>
        <v>319.51388762134081</v>
      </c>
      <c r="G18" s="29">
        <f ca="1">_xll.RiskUniform($L$2,$M$2)</f>
        <v>40.623718561900681</v>
      </c>
      <c r="H18" s="29">
        <f ca="1">_xll.RiskUniform($L$3,$M$3)</f>
        <v>1484.128463533026</v>
      </c>
      <c r="I18" s="2">
        <f t="shared" ca="1" si="2"/>
        <v>1484.128463533026</v>
      </c>
      <c r="L18">
        <f ca="1">L17/56</f>
        <v>0.48214285714285715</v>
      </c>
      <c r="O18" s="18">
        <v>417.58224165952919</v>
      </c>
      <c r="R18">
        <v>850</v>
      </c>
      <c r="S18">
        <f t="shared" si="7"/>
        <v>825</v>
      </c>
      <c r="T18" s="30">
        <f t="shared" si="3"/>
        <v>7.1428571428571425E-2</v>
      </c>
      <c r="U18">
        <f t="shared" si="8"/>
        <v>4</v>
      </c>
      <c r="V18">
        <f t="shared" si="4"/>
        <v>28</v>
      </c>
      <c r="Y18" s="2"/>
      <c r="Z18" s="2"/>
      <c r="AA18" s="2"/>
      <c r="AB18" s="2"/>
      <c r="AC18" s="2"/>
      <c r="AG18" s="30"/>
    </row>
    <row r="19" spans="1:33" x14ac:dyDescent="0.2">
      <c r="A19">
        <v>6</v>
      </c>
      <c r="B19">
        <f ca="1">ROUND(_xll.RiskUniform(A34,B34),0)</f>
        <v>0</v>
      </c>
      <c r="D19">
        <v>18</v>
      </c>
      <c r="E19" s="29">
        <f t="shared" ca="1" si="0"/>
        <v>-1437.586414554414</v>
      </c>
      <c r="F19" s="29">
        <f t="shared" ca="1" si="1"/>
        <v>-360.53244139046006</v>
      </c>
      <c r="G19" s="29">
        <f ca="1">_xll.RiskUniform($L$2,$M$2)</f>
        <v>22.236870723904488</v>
      </c>
      <c r="H19" s="29">
        <f ca="1">_xll.RiskUniform($L$3,$M$3)</f>
        <v>1482.1060490418292</v>
      </c>
      <c r="I19" s="2">
        <f t="shared" ca="1" si="2"/>
        <v>1482.1060490418292</v>
      </c>
      <c r="O19" s="18">
        <v>500.04654428848852</v>
      </c>
      <c r="R19">
        <v>900</v>
      </c>
      <c r="S19">
        <f t="shared" si="7"/>
        <v>875</v>
      </c>
      <c r="T19" s="30">
        <f t="shared" si="3"/>
        <v>0</v>
      </c>
      <c r="U19">
        <f t="shared" si="8"/>
        <v>0</v>
      </c>
      <c r="V19">
        <f t="shared" si="4"/>
        <v>28</v>
      </c>
      <c r="X19" t="s">
        <v>98</v>
      </c>
      <c r="Y19" s="2">
        <f>MAX(O:O)</f>
        <v>2399.3131548827805</v>
      </c>
      <c r="Z19" s="2"/>
      <c r="AA19" s="2"/>
      <c r="AB19" s="2"/>
      <c r="AC19" s="2"/>
      <c r="AG19" s="30"/>
    </row>
    <row r="20" spans="1:33" x14ac:dyDescent="0.2">
      <c r="A20">
        <v>7</v>
      </c>
      <c r="B20">
        <f ca="1">ROUND(_xll.RiskUniform(A35,B35),0)</f>
        <v>0</v>
      </c>
      <c r="D20">
        <v>19</v>
      </c>
      <c r="E20" s="29">
        <f t="shared" ca="1" si="0"/>
        <v>2247.1356030594015</v>
      </c>
      <c r="F20" s="29">
        <f t="shared" ca="1" si="1"/>
        <v>-211.52207313274914</v>
      </c>
      <c r="G20" s="29">
        <f ca="1">_xll.RiskUniform($L$2,$M$2)</f>
        <v>207.25126203323717</v>
      </c>
      <c r="H20" s="29">
        <f ca="1">_xll.RiskUniform($L$3,$M$3)</f>
        <v>2257.0688970342744</v>
      </c>
      <c r="I20" s="2">
        <f t="shared" ca="1" si="2"/>
        <v>2257.0688970342744</v>
      </c>
      <c r="O20" s="18">
        <v>583.53387812896381</v>
      </c>
      <c r="R20">
        <v>950</v>
      </c>
      <c r="S20">
        <f t="shared" si="7"/>
        <v>925</v>
      </c>
      <c r="T20" s="30">
        <f t="shared" si="3"/>
        <v>1.7857142857142856E-2</v>
      </c>
      <c r="U20">
        <f t="shared" si="8"/>
        <v>1</v>
      </c>
      <c r="V20">
        <f t="shared" si="4"/>
        <v>29</v>
      </c>
      <c r="Y20" s="2"/>
      <c r="Z20" s="2"/>
      <c r="AA20" s="2"/>
      <c r="AB20" s="2"/>
      <c r="AC20" s="2"/>
      <c r="AG20" s="30"/>
    </row>
    <row r="21" spans="1:33" x14ac:dyDescent="0.2">
      <c r="A21">
        <v>8</v>
      </c>
      <c r="B21">
        <f ca="1">ROUND(_xll.RiskUniform(A36,B36),0)</f>
        <v>0</v>
      </c>
      <c r="D21">
        <v>20</v>
      </c>
      <c r="E21" s="29">
        <f t="shared" ca="1" si="0"/>
        <v>355.62251867441046</v>
      </c>
      <c r="F21" s="29">
        <f t="shared" ca="1" si="1"/>
        <v>-495.86289500949647</v>
      </c>
      <c r="G21" s="29">
        <f ca="1">_xll.RiskUniform($L$2,$M$2)</f>
        <v>30.467292983513406</v>
      </c>
      <c r="H21" s="29">
        <f ca="1">_xll.RiskUniform($L$3,$M$3)</f>
        <v>610.20274207473892</v>
      </c>
      <c r="I21" s="2">
        <f t="shared" ca="1" si="2"/>
        <v>610.20274207473892</v>
      </c>
      <c r="O21" s="18">
        <v>688.8062504141277</v>
      </c>
      <c r="R21">
        <v>1000</v>
      </c>
      <c r="S21">
        <f t="shared" si="7"/>
        <v>975</v>
      </c>
      <c r="T21" s="30">
        <f t="shared" si="3"/>
        <v>1.7857142857142856E-2</v>
      </c>
      <c r="U21">
        <f t="shared" si="8"/>
        <v>1</v>
      </c>
      <c r="V21">
        <f t="shared" si="4"/>
        <v>30</v>
      </c>
      <c r="X21" t="s">
        <v>99</v>
      </c>
      <c r="Y21" s="2">
        <f>Y19/Y17</f>
        <v>352.45243972044631</v>
      </c>
      <c r="Z21" s="2"/>
      <c r="AA21" s="2"/>
      <c r="AB21" s="2"/>
      <c r="AC21" s="2"/>
      <c r="AG21" s="30"/>
    </row>
    <row r="22" spans="1:33" x14ac:dyDescent="0.2">
      <c r="A22">
        <v>9</v>
      </c>
      <c r="B22">
        <f ca="1">ROUND(_xll.RiskUniform(A37,B37),0)</f>
        <v>0</v>
      </c>
      <c r="D22">
        <v>21</v>
      </c>
      <c r="E22" s="29">
        <f t="shared" ca="1" si="0"/>
        <v>665.33598811365357</v>
      </c>
      <c r="F22" s="29">
        <f t="shared" ca="1" si="1"/>
        <v>1929.7781095181688</v>
      </c>
      <c r="G22" s="29">
        <f ca="1">_xll.RiskUniform($L$2,$M$2)</f>
        <v>152.03523273985087</v>
      </c>
      <c r="H22" s="29">
        <f ca="1">_xll.RiskUniform($L$3,$M$3)</f>
        <v>2041.2534210760527</v>
      </c>
      <c r="I22" s="2">
        <f t="shared" ca="1" si="2"/>
        <v>2041.2534210760527</v>
      </c>
      <c r="O22" s="18">
        <v>769.96177668133828</v>
      </c>
      <c r="R22">
        <v>1050</v>
      </c>
      <c r="S22">
        <f t="shared" si="7"/>
        <v>1025</v>
      </c>
      <c r="T22" s="30">
        <f t="shared" si="3"/>
        <v>1.7857142857142856E-2</v>
      </c>
      <c r="U22">
        <f t="shared" si="8"/>
        <v>1</v>
      </c>
      <c r="V22">
        <f t="shared" si="4"/>
        <v>31</v>
      </c>
      <c r="X22" t="s">
        <v>100</v>
      </c>
      <c r="Y22" s="2">
        <f>Y19/Y13</f>
        <v>673.04732412519786</v>
      </c>
      <c r="Z22" s="2"/>
      <c r="AA22" s="2"/>
      <c r="AB22" s="2"/>
      <c r="AC22" s="2"/>
      <c r="AG22" s="30"/>
    </row>
    <row r="23" spans="1:33" x14ac:dyDescent="0.2">
      <c r="D23">
        <v>22</v>
      </c>
      <c r="E23" s="29">
        <f t="shared" ca="1" si="0"/>
        <v>440.34029975714611</v>
      </c>
      <c r="F23" s="29">
        <f t="shared" ca="1" si="1"/>
        <v>1251.3687160629711</v>
      </c>
      <c r="G23" s="29">
        <f ca="1">_xll.RiskUniform($L$2,$M$2)</f>
        <v>196.01118601049859</v>
      </c>
      <c r="H23" s="29">
        <f ca="1">_xll.RiskUniform($L$3,$M$3)</f>
        <v>1326.5832967180395</v>
      </c>
      <c r="I23" s="2">
        <f t="shared" ca="1" si="2"/>
        <v>1326.5832967180395</v>
      </c>
      <c r="O23" s="18">
        <v>773.59007206339356</v>
      </c>
      <c r="R23">
        <v>1100</v>
      </c>
      <c r="S23">
        <f t="shared" si="7"/>
        <v>1075</v>
      </c>
      <c r="T23" s="30">
        <f t="shared" si="3"/>
        <v>1.7857142857142856E-2</v>
      </c>
      <c r="U23">
        <f t="shared" si="8"/>
        <v>1</v>
      </c>
      <c r="V23">
        <f t="shared" si="4"/>
        <v>32</v>
      </c>
      <c r="AG23" s="30"/>
    </row>
    <row r="24" spans="1:33" x14ac:dyDescent="0.2">
      <c r="D24">
        <v>23</v>
      </c>
      <c r="E24" s="29">
        <f t="shared" ca="1" si="0"/>
        <v>-769.22059845733975</v>
      </c>
      <c r="F24" s="29">
        <f t="shared" ca="1" si="1"/>
        <v>9.9077435275437278</v>
      </c>
      <c r="G24" s="29">
        <f ca="1">_xll.RiskUniform($L$2,$M$2)</f>
        <v>153.92516050121986</v>
      </c>
      <c r="H24" s="29">
        <f ca="1">_xll.RiskUniform($L$3,$M$3)</f>
        <v>769.2844028529862</v>
      </c>
      <c r="I24" s="2">
        <f t="shared" ca="1" si="2"/>
        <v>769.2844028529862</v>
      </c>
      <c r="O24" s="18">
        <v>778.0733672450682</v>
      </c>
      <c r="R24">
        <v>1150</v>
      </c>
      <c r="S24">
        <f t="shared" si="7"/>
        <v>1125</v>
      </c>
      <c r="T24" s="30">
        <f t="shared" si="3"/>
        <v>5.3571428571428568E-2</v>
      </c>
      <c r="U24">
        <f t="shared" si="8"/>
        <v>3</v>
      </c>
      <c r="V24">
        <f t="shared" si="4"/>
        <v>35</v>
      </c>
      <c r="Y24" s="2">
        <f>AVERAGE(Y21:Y22)</f>
        <v>512.74988192282206</v>
      </c>
      <c r="AG24" s="30"/>
    </row>
    <row r="25" spans="1:33" x14ac:dyDescent="0.2">
      <c r="D25">
        <v>24</v>
      </c>
      <c r="E25" s="29">
        <f t="shared" ca="1" si="0"/>
        <v>-844.51524633233021</v>
      </c>
      <c r="F25" s="29">
        <f t="shared" ca="1" si="1"/>
        <v>-11.286275019326245</v>
      </c>
      <c r="G25" s="29">
        <f ca="1">_xll.RiskUniform($L$2,$M$2)</f>
        <v>28.287697291936695</v>
      </c>
      <c r="H25" s="29">
        <f ca="1">_xll.RiskUniform($L$3,$M$3)</f>
        <v>844.5906590127363</v>
      </c>
      <c r="I25" s="2">
        <f t="shared" ca="1" si="2"/>
        <v>844.5906590127363</v>
      </c>
      <c r="O25" s="18">
        <v>798.31028648843562</v>
      </c>
      <c r="R25">
        <v>1200</v>
      </c>
      <c r="S25">
        <f t="shared" si="7"/>
        <v>1175</v>
      </c>
      <c r="T25" s="30">
        <f t="shared" si="3"/>
        <v>1.7857142857142856E-2</v>
      </c>
      <c r="U25">
        <f t="shared" si="8"/>
        <v>1</v>
      </c>
      <c r="V25">
        <f t="shared" si="4"/>
        <v>36</v>
      </c>
      <c r="AG25" s="30"/>
    </row>
    <row r="26" spans="1:33" x14ac:dyDescent="0.2">
      <c r="D26">
        <v>25</v>
      </c>
      <c r="E26" s="29">
        <f t="shared" ca="1" si="0"/>
        <v>234.18989869162345</v>
      </c>
      <c r="F26" s="29">
        <f t="shared" ca="1" si="1"/>
        <v>-1276.3776596645966</v>
      </c>
      <c r="G26" s="29">
        <f ca="1">_xll.RiskUniform($L$2,$M$2)</f>
        <v>281.35400425960682</v>
      </c>
      <c r="H26" s="29">
        <f ca="1">_xll.RiskUniform($L$3,$M$3)</f>
        <v>1297.6844141547149</v>
      </c>
      <c r="I26" s="2">
        <f t="shared" ca="1" si="2"/>
        <v>1297.6844141547149</v>
      </c>
      <c r="O26" s="18">
        <v>806.3936425768992</v>
      </c>
      <c r="R26">
        <v>1250</v>
      </c>
      <c r="S26">
        <f t="shared" si="7"/>
        <v>1225</v>
      </c>
      <c r="T26" s="30">
        <f t="shared" si="3"/>
        <v>0</v>
      </c>
      <c r="U26">
        <f t="shared" si="8"/>
        <v>0</v>
      </c>
      <c r="V26">
        <f t="shared" si="4"/>
        <v>36</v>
      </c>
      <c r="AG26" s="30"/>
    </row>
    <row r="27" spans="1:33" x14ac:dyDescent="0.2">
      <c r="D27">
        <v>26</v>
      </c>
      <c r="E27" s="29">
        <f t="shared" ca="1" si="0"/>
        <v>120.70165020083036</v>
      </c>
      <c r="F27" s="29">
        <f t="shared" ca="1" si="1"/>
        <v>722.84680382127033</v>
      </c>
      <c r="G27" s="29">
        <f ca="1">_xll.RiskUniform($L$2,$M$2)</f>
        <v>7.6885271773188446</v>
      </c>
      <c r="H27" s="29">
        <f ca="1">_xll.RiskUniform($L$3,$M$3)</f>
        <v>732.85495847120364</v>
      </c>
      <c r="I27" s="2">
        <f t="shared" ca="1" si="2"/>
        <v>732.85495847120376</v>
      </c>
      <c r="O27" s="18">
        <v>821.98164214175051</v>
      </c>
      <c r="R27">
        <v>1300</v>
      </c>
      <c r="S27">
        <f t="shared" si="7"/>
        <v>1275</v>
      </c>
      <c r="T27" s="30">
        <f t="shared" si="3"/>
        <v>0</v>
      </c>
      <c r="U27">
        <f t="shared" si="8"/>
        <v>0</v>
      </c>
      <c r="V27">
        <f t="shared" si="4"/>
        <v>36</v>
      </c>
      <c r="AG27" s="30"/>
    </row>
    <row r="28" spans="1:33" x14ac:dyDescent="0.2">
      <c r="D28">
        <v>27</v>
      </c>
      <c r="E28" s="29">
        <f t="shared" ca="1" si="0"/>
        <v>-515.97967731140773</v>
      </c>
      <c r="F28" s="29">
        <f t="shared" ca="1" si="1"/>
        <v>570.68622395570185</v>
      </c>
      <c r="G28" s="29">
        <f ca="1">_xll.RiskUniform($L$2,$M$2)</f>
        <v>322.74834413978721</v>
      </c>
      <c r="H28" s="29">
        <f ca="1">_xll.RiskUniform($L$3,$M$3)</f>
        <v>769.36193927903787</v>
      </c>
      <c r="I28" s="2">
        <f t="shared" ca="1" si="2"/>
        <v>769.36193927903787</v>
      </c>
      <c r="O28" s="18">
        <v>824.02626323133984</v>
      </c>
      <c r="R28">
        <v>1350</v>
      </c>
      <c r="S28">
        <f t="shared" si="7"/>
        <v>1325</v>
      </c>
      <c r="T28" s="30">
        <f t="shared" si="3"/>
        <v>1.7857142857142856E-2</v>
      </c>
      <c r="U28">
        <f t="shared" si="8"/>
        <v>1</v>
      </c>
      <c r="V28">
        <f t="shared" si="4"/>
        <v>37</v>
      </c>
      <c r="AG28" s="30"/>
    </row>
    <row r="29" spans="1:33" x14ac:dyDescent="0.2">
      <c r="D29">
        <v>28</v>
      </c>
      <c r="E29" s="29">
        <f t="shared" ca="1" si="0"/>
        <v>225.67142708856525</v>
      </c>
      <c r="F29" s="29">
        <f t="shared" ca="1" si="1"/>
        <v>34.053041375617894</v>
      </c>
      <c r="G29" s="29">
        <f ca="1">_xll.RiskUniform($L$2,$M$2)</f>
        <v>188.64532587588889</v>
      </c>
      <c r="H29" s="29">
        <f ca="1">_xll.RiskUniform($L$3,$M$3)</f>
        <v>228.22620934309708</v>
      </c>
      <c r="I29" s="2">
        <f t="shared" ca="1" si="2"/>
        <v>228.22620934309705</v>
      </c>
      <c r="O29" s="18">
        <v>849.17572513038249</v>
      </c>
      <c r="R29">
        <v>1400</v>
      </c>
      <c r="S29">
        <f t="shared" si="7"/>
        <v>1375</v>
      </c>
      <c r="T29" s="30">
        <f t="shared" si="3"/>
        <v>0</v>
      </c>
      <c r="U29">
        <f t="shared" si="8"/>
        <v>0</v>
      </c>
      <c r="V29">
        <f t="shared" si="4"/>
        <v>37</v>
      </c>
      <c r="AG29" s="30"/>
    </row>
    <row r="30" spans="1:33" x14ac:dyDescent="0.2">
      <c r="D30">
        <v>29</v>
      </c>
      <c r="E30" s="29">
        <f t="shared" ca="1" si="0"/>
        <v>-368.90486214891075</v>
      </c>
      <c r="F30" s="29">
        <f t="shared" ca="1" si="1"/>
        <v>-1641.6469658373071</v>
      </c>
      <c r="G30" s="29">
        <f ca="1">_xll.RiskUniform($L$2,$M$2)</f>
        <v>86.172753560074156</v>
      </c>
      <c r="H30" s="29">
        <f ca="1">_xll.RiskUniform($L$3,$M$3)</f>
        <v>1682.585973363603</v>
      </c>
      <c r="I30" s="2">
        <f t="shared" ca="1" si="2"/>
        <v>1682.585973363603</v>
      </c>
      <c r="O30" s="18">
        <v>931.83313355944381</v>
      </c>
      <c r="R30">
        <v>1450</v>
      </c>
      <c r="S30">
        <f t="shared" si="7"/>
        <v>1425</v>
      </c>
      <c r="T30" s="30">
        <f t="shared" si="3"/>
        <v>1.7857142857142856E-2</v>
      </c>
      <c r="U30">
        <f t="shared" si="8"/>
        <v>1</v>
      </c>
      <c r="V30">
        <f t="shared" si="4"/>
        <v>38</v>
      </c>
    </row>
    <row r="31" spans="1:33" x14ac:dyDescent="0.2">
      <c r="D31">
        <v>30</v>
      </c>
      <c r="E31" s="29">
        <f t="shared" ca="1" si="0"/>
        <v>171.66208280545683</v>
      </c>
      <c r="F31" s="29">
        <f t="shared" ca="1" si="1"/>
        <v>725.89030904645244</v>
      </c>
      <c r="G31" s="29">
        <f ca="1">_xll.RiskUniform($L$2,$M$2)</f>
        <v>309.21465771497668</v>
      </c>
      <c r="H31" s="29">
        <f ca="1">_xll.RiskUniform($L$3,$M$3)</f>
        <v>745.91193276462718</v>
      </c>
      <c r="I31" s="2">
        <f t="shared" ca="1" si="2"/>
        <v>745.9119327646273</v>
      </c>
      <c r="O31" s="18">
        <v>971.81364598540097</v>
      </c>
      <c r="R31">
        <v>1500</v>
      </c>
      <c r="S31">
        <f t="shared" si="7"/>
        <v>1475</v>
      </c>
      <c r="T31" s="30">
        <f t="shared" si="3"/>
        <v>1.7857142857142856E-2</v>
      </c>
      <c r="U31">
        <f t="shared" si="8"/>
        <v>1</v>
      </c>
      <c r="V31">
        <f t="shared" si="4"/>
        <v>39</v>
      </c>
    </row>
    <row r="32" spans="1:33" x14ac:dyDescent="0.2">
      <c r="D32">
        <v>31</v>
      </c>
      <c r="E32" s="29">
        <f t="shared" ca="1" si="0"/>
        <v>1381.3786145503225</v>
      </c>
      <c r="F32" s="29">
        <f t="shared" ca="1" si="1"/>
        <v>-1929.9748279772002</v>
      </c>
      <c r="G32" s="29">
        <f ca="1">_xll.RiskUniform($L$2,$M$2)</f>
        <v>5.3336070920240575</v>
      </c>
      <c r="H32" s="29">
        <f ca="1">_xll.RiskUniform($L$3,$M$3)</f>
        <v>2373.3962402773354</v>
      </c>
      <c r="I32" s="2">
        <f t="shared" ca="1" si="2"/>
        <v>2373.3962402773354</v>
      </c>
      <c r="O32" s="18">
        <v>1043.9516606862226</v>
      </c>
      <c r="R32">
        <v>1550</v>
      </c>
      <c r="S32">
        <f t="shared" si="7"/>
        <v>1525</v>
      </c>
      <c r="T32" s="30">
        <f t="shared" si="3"/>
        <v>1.7857142857142856E-2</v>
      </c>
      <c r="U32">
        <f t="shared" si="8"/>
        <v>1</v>
      </c>
      <c r="V32">
        <f t="shared" si="4"/>
        <v>40</v>
      </c>
    </row>
    <row r="33" spans="4:22" x14ac:dyDescent="0.2">
      <c r="D33">
        <v>32</v>
      </c>
      <c r="E33" s="29">
        <f t="shared" ca="1" si="0"/>
        <v>1585.3773795823781</v>
      </c>
      <c r="F33" s="29">
        <f t="shared" ca="1" si="1"/>
        <v>609.90076343675878</v>
      </c>
      <c r="G33" s="29">
        <f ca="1">_xll.RiskUniform($L$2,$M$2)</f>
        <v>345.94244278162205</v>
      </c>
      <c r="H33" s="29">
        <f ca="1">_xll.RiskUniform($L$3,$M$3)</f>
        <v>1698.6466309777995</v>
      </c>
      <c r="I33" s="2">
        <f t="shared" ca="1" si="2"/>
        <v>1698.6466309777995</v>
      </c>
      <c r="O33" s="18">
        <v>1053.8277919005748</v>
      </c>
      <c r="R33">
        <v>1600</v>
      </c>
      <c r="S33">
        <f t="shared" si="7"/>
        <v>1575</v>
      </c>
      <c r="T33" s="30">
        <f t="shared" si="3"/>
        <v>3.5714285714285712E-2</v>
      </c>
      <c r="U33">
        <f t="shared" si="8"/>
        <v>2</v>
      </c>
      <c r="V33">
        <f t="shared" si="4"/>
        <v>42</v>
      </c>
    </row>
    <row r="34" spans="4:22" x14ac:dyDescent="0.2">
      <c r="D34">
        <v>33</v>
      </c>
      <c r="E34" s="29">
        <f t="shared" ca="1" si="0"/>
        <v>-41.315362474082356</v>
      </c>
      <c r="F34" s="29">
        <f t="shared" ca="1" si="1"/>
        <v>54.50662462729435</v>
      </c>
      <c r="G34" s="29">
        <f ca="1">_xll.RiskUniform($L$2,$M$2)</f>
        <v>27.352131356030505</v>
      </c>
      <c r="H34" s="29">
        <f ca="1">_xll.RiskUniform($L$3,$M$3)</f>
        <v>68.395404119177357</v>
      </c>
      <c r="I34" s="2">
        <f t="shared" ca="1" si="2"/>
        <v>68.395404119177357</v>
      </c>
      <c r="O34" s="18">
        <v>1101.7843274581494</v>
      </c>
      <c r="R34">
        <v>1650</v>
      </c>
      <c r="S34">
        <f t="shared" si="7"/>
        <v>1625</v>
      </c>
      <c r="T34" s="30">
        <f t="shared" si="3"/>
        <v>1.7857142857142856E-2</v>
      </c>
      <c r="U34">
        <f t="shared" si="8"/>
        <v>1</v>
      </c>
      <c r="V34">
        <f t="shared" si="4"/>
        <v>43</v>
      </c>
    </row>
    <row r="35" spans="4:22" x14ac:dyDescent="0.2">
      <c r="D35">
        <v>34</v>
      </c>
      <c r="E35" s="29">
        <f t="shared" ca="1" si="0"/>
        <v>-520.03298412152367</v>
      </c>
      <c r="F35" s="29">
        <f t="shared" ca="1" si="1"/>
        <v>2234.0842170618662</v>
      </c>
      <c r="G35" s="29">
        <f ca="1">_xll.RiskUniform($L$2,$M$2)</f>
        <v>190.29505537066169</v>
      </c>
      <c r="H35" s="29">
        <f ca="1">_xll.RiskUniform($L$3,$M$3)</f>
        <v>2293.8104964227687</v>
      </c>
      <c r="I35" s="2">
        <f t="shared" ca="1" si="2"/>
        <v>2293.8104964227687</v>
      </c>
      <c r="O35" s="18">
        <v>1107.1236354380992</v>
      </c>
      <c r="R35">
        <v>1700</v>
      </c>
      <c r="S35">
        <f t="shared" si="7"/>
        <v>1675</v>
      </c>
      <c r="T35" s="30">
        <f t="shared" si="3"/>
        <v>0</v>
      </c>
      <c r="U35">
        <f t="shared" si="8"/>
        <v>0</v>
      </c>
      <c r="V35">
        <f t="shared" si="4"/>
        <v>43</v>
      </c>
    </row>
    <row r="36" spans="4:22" x14ac:dyDescent="0.2">
      <c r="D36">
        <v>35</v>
      </c>
      <c r="E36" s="29">
        <f t="shared" ca="1" si="0"/>
        <v>-990.36774448653944</v>
      </c>
      <c r="F36" s="29">
        <f t="shared" ca="1" si="1"/>
        <v>318.6703090249016</v>
      </c>
      <c r="G36" s="29">
        <f ca="1">_xll.RiskUniform($L$2,$M$2)</f>
        <v>34.246211775928444</v>
      </c>
      <c r="H36" s="29">
        <f ca="1">_xll.RiskUniform($L$3,$M$3)</f>
        <v>1040.3744687243059</v>
      </c>
      <c r="I36" s="2">
        <f t="shared" ca="1" si="2"/>
        <v>1040.3744687243059</v>
      </c>
      <c r="O36" s="18">
        <v>1123.3420400734483</v>
      </c>
      <c r="R36">
        <v>1750</v>
      </c>
      <c r="S36">
        <f t="shared" si="7"/>
        <v>1725</v>
      </c>
      <c r="T36" s="30">
        <f t="shared" si="3"/>
        <v>1.7857142857142856E-2</v>
      </c>
      <c r="U36">
        <f t="shared" si="8"/>
        <v>1</v>
      </c>
      <c r="V36">
        <f t="shared" si="4"/>
        <v>44</v>
      </c>
    </row>
    <row r="37" spans="4:22" x14ac:dyDescent="0.2">
      <c r="D37">
        <v>36</v>
      </c>
      <c r="E37" s="29">
        <f t="shared" ca="1" si="0"/>
        <v>-608.12664322225078</v>
      </c>
      <c r="F37" s="29">
        <f t="shared" ca="1" si="1"/>
        <v>279.90026523753363</v>
      </c>
      <c r="G37" s="29">
        <f ca="1">_xll.RiskUniform($L$2,$M$2)</f>
        <v>210.0553491914969</v>
      </c>
      <c r="H37" s="29">
        <f ca="1">_xll.RiskUniform($L$3,$M$3)</f>
        <v>669.44915615512161</v>
      </c>
      <c r="I37" s="2">
        <f t="shared" ca="1" si="2"/>
        <v>669.44915615512161</v>
      </c>
      <c r="O37" s="18">
        <v>1189.2784281890295</v>
      </c>
      <c r="R37">
        <v>1800</v>
      </c>
      <c r="S37">
        <f t="shared" si="7"/>
        <v>1775</v>
      </c>
      <c r="T37" s="30">
        <f t="shared" si="3"/>
        <v>0</v>
      </c>
      <c r="U37">
        <f t="shared" si="8"/>
        <v>0</v>
      </c>
      <c r="V37">
        <f t="shared" si="4"/>
        <v>44</v>
      </c>
    </row>
    <row r="38" spans="4:22" x14ac:dyDescent="0.2">
      <c r="D38">
        <v>37</v>
      </c>
      <c r="E38" s="29">
        <f t="shared" ca="1" si="0"/>
        <v>1468.8422324534679</v>
      </c>
      <c r="F38" s="29">
        <f t="shared" ca="1" si="1"/>
        <v>-675.24259728720006</v>
      </c>
      <c r="G38" s="29">
        <f ca="1">_xll.RiskUniform($L$2,$M$2)</f>
        <v>282.31243882395108</v>
      </c>
      <c r="H38" s="29">
        <f ca="1">_xll.RiskUniform($L$3,$M$3)</f>
        <v>1616.6168590702162</v>
      </c>
      <c r="I38" s="2">
        <f t="shared" ca="1" si="2"/>
        <v>1616.6168590702162</v>
      </c>
      <c r="O38" s="18">
        <v>1345.8996458999591</v>
      </c>
      <c r="R38">
        <v>1850</v>
      </c>
      <c r="S38">
        <f t="shared" si="7"/>
        <v>1825</v>
      </c>
      <c r="T38" s="30">
        <f t="shared" si="3"/>
        <v>1.7857142857142856E-2</v>
      </c>
      <c r="U38">
        <f t="shared" si="8"/>
        <v>1</v>
      </c>
      <c r="V38">
        <f t="shared" si="4"/>
        <v>45</v>
      </c>
    </row>
    <row r="39" spans="4:22" x14ac:dyDescent="0.2">
      <c r="D39">
        <v>38</v>
      </c>
      <c r="E39" s="29">
        <f t="shared" ca="1" si="0"/>
        <v>-878.28170806541448</v>
      </c>
      <c r="F39" s="29">
        <f t="shared" ca="1" si="1"/>
        <v>1398.983945579432</v>
      </c>
      <c r="G39" s="29">
        <f ca="1">_xll.RiskUniform($L$2,$M$2)</f>
        <v>77.529630066352922</v>
      </c>
      <c r="H39" s="29">
        <f ca="1">_xll.RiskUniform($L$3,$M$3)</f>
        <v>1651.8277267049664</v>
      </c>
      <c r="I39" s="2">
        <f t="shared" ca="1" si="2"/>
        <v>1651.8277267049664</v>
      </c>
      <c r="O39" s="18">
        <v>1444.2262801382226</v>
      </c>
      <c r="R39">
        <v>1900</v>
      </c>
      <c r="S39">
        <f t="shared" si="7"/>
        <v>1875</v>
      </c>
      <c r="T39" s="30">
        <f t="shared" si="3"/>
        <v>1.7857142857142856E-2</v>
      </c>
      <c r="U39">
        <f t="shared" si="8"/>
        <v>1</v>
      </c>
      <c r="V39">
        <f t="shared" si="4"/>
        <v>46</v>
      </c>
    </row>
    <row r="40" spans="4:22" x14ac:dyDescent="0.2">
      <c r="D40">
        <v>39</v>
      </c>
      <c r="E40" s="29">
        <f t="shared" ca="1" si="0"/>
        <v>2296.2519103865061</v>
      </c>
      <c r="F40" s="29">
        <f t="shared" ca="1" si="1"/>
        <v>279.16945205319234</v>
      </c>
      <c r="G40" s="29">
        <f ca="1">_xll.RiskUniform($L$2,$M$2)</f>
        <v>163.48380039113309</v>
      </c>
      <c r="H40" s="29">
        <f ca="1">_xll.RiskUniform($L$3,$M$3)</f>
        <v>2313.1598342772077</v>
      </c>
      <c r="I40" s="2">
        <f t="shared" ca="1" si="2"/>
        <v>2313.1598342772077</v>
      </c>
      <c r="O40" s="18">
        <v>1493.4036331389202</v>
      </c>
      <c r="R40">
        <v>1950</v>
      </c>
      <c r="S40">
        <f t="shared" si="7"/>
        <v>1925</v>
      </c>
      <c r="T40" s="30">
        <f t="shared" si="3"/>
        <v>5.3571428571428568E-2</v>
      </c>
      <c r="U40">
        <f t="shared" si="8"/>
        <v>3</v>
      </c>
      <c r="V40">
        <f t="shared" si="4"/>
        <v>49</v>
      </c>
    </row>
    <row r="41" spans="4:22" x14ac:dyDescent="0.2">
      <c r="D41">
        <v>40</v>
      </c>
      <c r="E41" s="29">
        <f t="shared" ca="1" si="0"/>
        <v>232.30382634270836</v>
      </c>
      <c r="F41" s="29">
        <f t="shared" ca="1" si="1"/>
        <v>657.34901157158981</v>
      </c>
      <c r="G41" s="29">
        <f ca="1">_xll.RiskUniform($L$2,$M$2)</f>
        <v>177.16028885434287</v>
      </c>
      <c r="H41" s="29">
        <f ca="1">_xll.RiskUniform($L$3,$M$3)</f>
        <v>697.1892072799244</v>
      </c>
      <c r="I41" s="2">
        <f t="shared" ca="1" si="2"/>
        <v>697.18920727992429</v>
      </c>
      <c r="O41" s="18">
        <v>1547.4027921772497</v>
      </c>
      <c r="R41">
        <v>2000</v>
      </c>
      <c r="S41">
        <f t="shared" si="7"/>
        <v>1975</v>
      </c>
      <c r="T41" s="30">
        <f t="shared" si="3"/>
        <v>1.7857142857142856E-2</v>
      </c>
      <c r="U41">
        <f t="shared" si="8"/>
        <v>1</v>
      </c>
      <c r="V41">
        <f t="shared" si="4"/>
        <v>50</v>
      </c>
    </row>
    <row r="42" spans="4:22" x14ac:dyDescent="0.2">
      <c r="D42">
        <v>41</v>
      </c>
      <c r="E42" s="29">
        <f t="shared" ca="1" si="0"/>
        <v>-28.683630179833361</v>
      </c>
      <c r="F42" s="29">
        <f t="shared" ca="1" si="1"/>
        <v>80.551741304175337</v>
      </c>
      <c r="G42" s="29">
        <f ca="1">_xll.RiskUniform($L$2,$M$2)</f>
        <v>127.57659191004902</v>
      </c>
      <c r="H42" s="29">
        <f ca="1">_xll.RiskUniform($L$3,$M$3)</f>
        <v>85.506337001582722</v>
      </c>
      <c r="I42" s="2">
        <f t="shared" ca="1" si="2"/>
        <v>85.506337001582722</v>
      </c>
      <c r="O42" s="18">
        <v>1559.5498429382476</v>
      </c>
      <c r="R42">
        <v>2050</v>
      </c>
      <c r="S42">
        <f t="shared" si="7"/>
        <v>2025</v>
      </c>
      <c r="T42" s="30">
        <f t="shared" si="3"/>
        <v>3.5714285714285712E-2</v>
      </c>
      <c r="U42">
        <f t="shared" si="8"/>
        <v>2</v>
      </c>
      <c r="V42">
        <f t="shared" si="4"/>
        <v>52</v>
      </c>
    </row>
    <row r="43" spans="4:22" x14ac:dyDescent="0.2">
      <c r="D43">
        <v>42</v>
      </c>
      <c r="E43" s="29">
        <f t="shared" ca="1" si="0"/>
        <v>1383.413583706257</v>
      </c>
      <c r="F43" s="29">
        <f t="shared" ca="1" si="1"/>
        <v>-567.7363830491629</v>
      </c>
      <c r="G43" s="29">
        <f ca="1">_xll.RiskUniform($L$2,$M$2)</f>
        <v>56.159238384986715</v>
      </c>
      <c r="H43" s="29">
        <f ca="1">_xll.RiskUniform($L$3,$M$3)</f>
        <v>1495.3787962321569</v>
      </c>
      <c r="I43" s="2">
        <f t="shared" ca="1" si="2"/>
        <v>1495.3787962321569</v>
      </c>
      <c r="O43" s="18">
        <v>1563.179609502954</v>
      </c>
      <c r="R43">
        <v>2100</v>
      </c>
      <c r="S43">
        <f t="shared" si="7"/>
        <v>2075</v>
      </c>
      <c r="T43" s="30">
        <f t="shared" si="3"/>
        <v>1.7857142857142856E-2</v>
      </c>
      <c r="U43">
        <f t="shared" si="8"/>
        <v>1</v>
      </c>
      <c r="V43">
        <f t="shared" si="4"/>
        <v>53</v>
      </c>
    </row>
    <row r="44" spans="4:22" x14ac:dyDescent="0.2">
      <c r="D44">
        <v>43</v>
      </c>
      <c r="E44" s="29">
        <f t="shared" ca="1" si="0"/>
        <v>-475.33274047462805</v>
      </c>
      <c r="F44" s="29">
        <f t="shared" ca="1" si="1"/>
        <v>1014.5951993897143</v>
      </c>
      <c r="G44" s="29">
        <f ca="1">_xll.RiskUniform($L$2,$M$2)</f>
        <v>203.07085360238347</v>
      </c>
      <c r="H44" s="29">
        <f ca="1">_xll.RiskUniform($L$3,$M$3)</f>
        <v>1120.4216317046785</v>
      </c>
      <c r="I44" s="2">
        <f t="shared" ca="1" si="2"/>
        <v>1120.4216317046785</v>
      </c>
      <c r="O44" s="18">
        <v>1632.8767153731624</v>
      </c>
      <c r="R44">
        <v>2150</v>
      </c>
      <c r="S44">
        <f t="shared" si="7"/>
        <v>2125</v>
      </c>
      <c r="T44" s="30">
        <f t="shared" si="3"/>
        <v>0</v>
      </c>
      <c r="U44">
        <f t="shared" si="8"/>
        <v>0</v>
      </c>
      <c r="V44">
        <f t="shared" si="4"/>
        <v>53</v>
      </c>
    </row>
    <row r="45" spans="4:22" x14ac:dyDescent="0.2">
      <c r="D45">
        <v>44</v>
      </c>
      <c r="E45" s="29">
        <f t="shared" ca="1" si="0"/>
        <v>-406.06891759105639</v>
      </c>
      <c r="F45" s="29">
        <f t="shared" ca="1" si="1"/>
        <v>-1865.7307203627386</v>
      </c>
      <c r="G45" s="29">
        <f ca="1">_xll.RiskUniform($L$2,$M$2)</f>
        <v>111.31223528390881</v>
      </c>
      <c r="H45" s="29">
        <f ca="1">_xll.RiskUniform($L$3,$M$3)</f>
        <v>1909.4090936043108</v>
      </c>
      <c r="I45" s="2">
        <f t="shared" ca="1" si="2"/>
        <v>1909.4090936043108</v>
      </c>
      <c r="O45" s="18">
        <v>1741.6179322707985</v>
      </c>
      <c r="R45">
        <v>2200</v>
      </c>
      <c r="S45">
        <f t="shared" si="7"/>
        <v>2175</v>
      </c>
      <c r="T45" s="30">
        <f t="shared" si="3"/>
        <v>0</v>
      </c>
      <c r="U45">
        <f t="shared" si="8"/>
        <v>0</v>
      </c>
      <c r="V45">
        <f t="shared" si="4"/>
        <v>53</v>
      </c>
    </row>
    <row r="46" spans="4:22" x14ac:dyDescent="0.2">
      <c r="D46">
        <v>45</v>
      </c>
      <c r="E46" s="29">
        <f t="shared" ca="1" si="0"/>
        <v>-365.8026848909592</v>
      </c>
      <c r="F46" s="29">
        <f t="shared" ca="1" si="1"/>
        <v>-322.72892748119722</v>
      </c>
      <c r="G46" s="29">
        <f ca="1">_xll.RiskUniform($L$2,$M$2)</f>
        <v>110.67866359153638</v>
      </c>
      <c r="H46" s="29">
        <f ca="1">_xll.RiskUniform($L$3,$M$3)</f>
        <v>487.81714289946621</v>
      </c>
      <c r="I46" s="2">
        <f t="shared" ca="1" si="2"/>
        <v>487.81714289946621</v>
      </c>
      <c r="O46" s="18">
        <v>1817.4366161006408</v>
      </c>
      <c r="R46">
        <v>2250</v>
      </c>
      <c r="S46">
        <f t="shared" si="7"/>
        <v>2225</v>
      </c>
      <c r="T46" s="30">
        <f t="shared" si="3"/>
        <v>1.7857142857142856E-2</v>
      </c>
      <c r="U46">
        <f t="shared" si="8"/>
        <v>1</v>
      </c>
      <c r="V46">
        <f t="shared" si="4"/>
        <v>54</v>
      </c>
    </row>
    <row r="47" spans="4:22" x14ac:dyDescent="0.2">
      <c r="D47">
        <v>46</v>
      </c>
      <c r="E47" s="29">
        <f t="shared" ca="1" si="0"/>
        <v>-204.94862453161028</v>
      </c>
      <c r="F47" s="29">
        <f t="shared" ca="1" si="1"/>
        <v>-477.86228132962543</v>
      </c>
      <c r="G47" s="29">
        <f ca="1">_xll.RiskUniform($L$2,$M$2)</f>
        <v>192.8027903591985</v>
      </c>
      <c r="H47" s="29">
        <f ca="1">_xll.RiskUniform($L$3,$M$3)</f>
        <v>519.95797773950255</v>
      </c>
      <c r="I47" s="2">
        <f t="shared" ca="1" si="2"/>
        <v>519.95797773950255</v>
      </c>
      <c r="O47" s="18">
        <v>1885.172308200154</v>
      </c>
      <c r="R47">
        <v>2300</v>
      </c>
      <c r="S47">
        <f t="shared" si="7"/>
        <v>2275</v>
      </c>
      <c r="T47" s="30">
        <f t="shared" si="3"/>
        <v>0</v>
      </c>
      <c r="U47">
        <f t="shared" si="8"/>
        <v>0</v>
      </c>
      <c r="V47">
        <f t="shared" si="4"/>
        <v>54</v>
      </c>
    </row>
    <row r="48" spans="4:22" x14ac:dyDescent="0.2">
      <c r="D48">
        <v>47</v>
      </c>
      <c r="E48" s="29">
        <f t="shared" ca="1" si="0"/>
        <v>-1558.0726043664558</v>
      </c>
      <c r="F48" s="29">
        <f t="shared" ca="1" si="1"/>
        <v>1285.9836615029403</v>
      </c>
      <c r="G48" s="29">
        <f ca="1">_xll.RiskUniform($L$2,$M$2)</f>
        <v>121.83209436894441</v>
      </c>
      <c r="H48" s="29">
        <f ca="1">_xll.RiskUniform($L$3,$M$3)</f>
        <v>2020.233703839677</v>
      </c>
      <c r="I48" s="2">
        <f t="shared" ca="1" si="2"/>
        <v>2020.2337038396768</v>
      </c>
      <c r="O48" s="18">
        <v>1922.0693335219735</v>
      </c>
      <c r="R48">
        <v>2350</v>
      </c>
      <c r="S48">
        <f t="shared" si="7"/>
        <v>2325</v>
      </c>
      <c r="T48" s="30">
        <f t="shared" si="3"/>
        <v>0</v>
      </c>
      <c r="U48">
        <f t="shared" si="8"/>
        <v>0</v>
      </c>
      <c r="V48">
        <f t="shared" si="4"/>
        <v>54</v>
      </c>
    </row>
    <row r="49" spans="4:22" x14ac:dyDescent="0.2">
      <c r="D49">
        <v>48</v>
      </c>
      <c r="E49" s="29">
        <f t="shared" ca="1" si="0"/>
        <v>132.43349775185968</v>
      </c>
      <c r="F49" s="29">
        <f t="shared" ca="1" si="1"/>
        <v>492.88305132449688</v>
      </c>
      <c r="G49" s="29">
        <f ca="1">_xll.RiskUniform($L$2,$M$2)</f>
        <v>359.44986697294661</v>
      </c>
      <c r="H49" s="29">
        <f ca="1">_xll.RiskUniform($L$3,$M$3)</f>
        <v>510.3649024078149</v>
      </c>
      <c r="I49" s="2">
        <f t="shared" ca="1" si="2"/>
        <v>510.3649024078149</v>
      </c>
      <c r="O49" s="18">
        <v>1940.1546379629353</v>
      </c>
      <c r="R49">
        <v>2400</v>
      </c>
      <c r="S49">
        <f t="shared" si="7"/>
        <v>2375</v>
      </c>
      <c r="T49" s="30">
        <f t="shared" si="3"/>
        <v>3.5714285714285712E-2</v>
      </c>
      <c r="U49">
        <f t="shared" si="8"/>
        <v>2</v>
      </c>
      <c r="V49">
        <f t="shared" si="4"/>
        <v>56</v>
      </c>
    </row>
    <row r="50" spans="4:22" x14ac:dyDescent="0.2">
      <c r="D50">
        <v>49</v>
      </c>
      <c r="E50" s="29">
        <f t="shared" ca="1" si="0"/>
        <v>-1625.5000466909767</v>
      </c>
      <c r="F50" s="29">
        <f t="shared" ca="1" si="1"/>
        <v>-385.51787253844782</v>
      </c>
      <c r="G50" s="29">
        <f ca="1">_xll.RiskUniform($L$2,$M$2)</f>
        <v>304.96735364641057</v>
      </c>
      <c r="H50" s="29">
        <f ca="1">_xll.RiskUniform($L$3,$M$3)</f>
        <v>1670.5910426669172</v>
      </c>
      <c r="I50" s="2">
        <f t="shared" ca="1" si="2"/>
        <v>1670.5910426669175</v>
      </c>
      <c r="O50" s="18">
        <v>1945.7273991287288</v>
      </c>
    </row>
    <row r="51" spans="4:22" x14ac:dyDescent="0.2">
      <c r="D51">
        <v>50</v>
      </c>
      <c r="E51" s="29">
        <f t="shared" ca="1" si="0"/>
        <v>-297.83974018006813</v>
      </c>
      <c r="F51" s="29">
        <f t="shared" ca="1" si="1"/>
        <v>176.68273248757367</v>
      </c>
      <c r="G51" s="29">
        <f ca="1">_xll.RiskUniform($L$2,$M$2)</f>
        <v>21.455733650446621</v>
      </c>
      <c r="H51" s="29">
        <f ca="1">_xll.RiskUniform($L$3,$M$3)</f>
        <v>346.30232281895832</v>
      </c>
      <c r="I51" s="2">
        <f t="shared" ca="1" si="2"/>
        <v>346.30232281895832</v>
      </c>
      <c r="O51" s="18">
        <v>1958.9876428104672</v>
      </c>
    </row>
    <row r="52" spans="4:22" x14ac:dyDescent="0.2">
      <c r="D52">
        <v>51</v>
      </c>
      <c r="E52" s="29">
        <f t="shared" ca="1" si="0"/>
        <v>139.07145445361817</v>
      </c>
      <c r="F52" s="29">
        <f t="shared" ca="1" si="1"/>
        <v>-1593.0694106810668</v>
      </c>
      <c r="G52" s="29">
        <f ca="1">_xll.RiskUniform($L$2,$M$2)</f>
        <v>55.064948483365789</v>
      </c>
      <c r="H52" s="29">
        <f ca="1">_xll.RiskUniform($L$3,$M$3)</f>
        <v>1599.1282052079396</v>
      </c>
      <c r="I52" s="2">
        <f t="shared" ca="1" si="2"/>
        <v>1599.1282052079396</v>
      </c>
      <c r="O52" s="18">
        <v>2031.0950223251507</v>
      </c>
    </row>
    <row r="53" spans="4:22" x14ac:dyDescent="0.2">
      <c r="D53">
        <v>52</v>
      </c>
      <c r="E53" s="29">
        <f t="shared" ca="1" si="0"/>
        <v>762.75588860462528</v>
      </c>
      <c r="F53" s="29">
        <f t="shared" ca="1" si="1"/>
        <v>242.39023454105765</v>
      </c>
      <c r="G53" s="29">
        <f ca="1">_xll.RiskUniform($L$2,$M$2)</f>
        <v>251.63510213434643</v>
      </c>
      <c r="H53" s="29">
        <f ca="1">_xll.RiskUniform($L$3,$M$3)</f>
        <v>800.34340842034828</v>
      </c>
      <c r="I53" s="2">
        <f t="shared" ca="1" si="2"/>
        <v>800.34340842034828</v>
      </c>
      <c r="O53" s="18">
        <v>2049.388862119099</v>
      </c>
    </row>
    <row r="54" spans="4:22" x14ac:dyDescent="0.2">
      <c r="D54">
        <v>53</v>
      </c>
      <c r="E54" s="29">
        <f t="shared" ca="1" si="0"/>
        <v>699.78843841134164</v>
      </c>
      <c r="F54" s="29">
        <f t="shared" ca="1" si="1"/>
        <v>22.552460837524297</v>
      </c>
      <c r="G54" s="29">
        <f ca="1">_xll.RiskUniform($L$2,$M$2)</f>
        <v>226.2268874494365</v>
      </c>
      <c r="H54" s="29">
        <f ca="1">_xll.RiskUniform($L$3,$M$3)</f>
        <v>700.15174928297665</v>
      </c>
      <c r="I54" s="2">
        <f t="shared" ca="1" si="2"/>
        <v>700.15174928297665</v>
      </c>
      <c r="O54" s="18">
        <v>2093.6358665998137</v>
      </c>
    </row>
    <row r="55" spans="4:22" x14ac:dyDescent="0.2">
      <c r="D55">
        <v>54</v>
      </c>
      <c r="E55" s="29">
        <f t="shared" ca="1" si="0"/>
        <v>-1331.0478066120681</v>
      </c>
      <c r="F55" s="29">
        <f t="shared" ca="1" si="1"/>
        <v>-274.82394582083998</v>
      </c>
      <c r="G55" s="29">
        <f ca="1">_xll.RiskUniform($L$2,$M$2)</f>
        <v>348.92039525643708</v>
      </c>
      <c r="H55" s="29">
        <f ca="1">_xll.RiskUniform($L$3,$M$3)</f>
        <v>1359.1234177525357</v>
      </c>
      <c r="I55" s="2">
        <f t="shared" ca="1" si="2"/>
        <v>1359.1234177525357</v>
      </c>
      <c r="O55" s="18">
        <v>2237.3190995963637</v>
      </c>
    </row>
    <row r="56" spans="4:22" x14ac:dyDescent="0.2">
      <c r="D56">
        <v>55</v>
      </c>
      <c r="E56" s="29">
        <f t="shared" ca="1" si="0"/>
        <v>-2319.7456169687594</v>
      </c>
      <c r="F56" s="29">
        <f t="shared" ca="1" si="1"/>
        <v>335.47607162123495</v>
      </c>
      <c r="G56" s="29">
        <f ca="1">_xll.RiskUniform($L$2,$M$2)</f>
        <v>354.85634796808534</v>
      </c>
      <c r="H56" s="29">
        <f ca="1">_xll.RiskUniform($L$3,$M$3)</f>
        <v>2343.8779665494931</v>
      </c>
      <c r="I56" s="2">
        <f t="shared" ca="1" si="2"/>
        <v>2343.8779665494931</v>
      </c>
      <c r="O56" s="18">
        <v>2389.5881208434703</v>
      </c>
    </row>
    <row r="57" spans="4:22" x14ac:dyDescent="0.2">
      <c r="D57">
        <v>56</v>
      </c>
      <c r="E57" s="29">
        <f t="shared" ca="1" si="0"/>
        <v>-1814.4260614148868</v>
      </c>
      <c r="F57" s="29">
        <f t="shared" ca="1" si="1"/>
        <v>-474.0376676719269</v>
      </c>
      <c r="G57" s="29">
        <f ca="1">_xll.RiskUniform($L$2,$M$2)</f>
        <v>9.6803262428550383</v>
      </c>
      <c r="H57" s="29">
        <f ca="1">_xll.RiskUniform($L$3,$M$3)</f>
        <v>1875.3276094361163</v>
      </c>
      <c r="I57" s="2">
        <f t="shared" ca="1" si="2"/>
        <v>1875.3276094361163</v>
      </c>
      <c r="O57" s="18">
        <v>2399.3131548827805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Scenario1 Model v1</vt:lpstr>
      <vt:lpstr>Scenario2 Model v2</vt:lpstr>
      <vt:lpstr>DTDS Spatial Model Scen1</vt:lpstr>
      <vt:lpstr>DTDS Spatial Model Scen2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 P Caton</dc:creator>
  <cp:lastModifiedBy>Barney P Caton</cp:lastModifiedBy>
  <dcterms:created xsi:type="dcterms:W3CDTF">2023-01-10T19:03:42Z</dcterms:created>
  <dcterms:modified xsi:type="dcterms:W3CDTF">2023-01-11T12:25:21Z</dcterms:modified>
</cp:coreProperties>
</file>