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204" documentId="8_{0874E9D9-383C-4BF2-8712-B0BD6D50C8FC}" xr6:coauthVersionLast="47" xr6:coauthVersionMax="47" xr10:uidLastSave="{0950CF3F-4946-4A63-94F8-29C177EB326B}"/>
  <bookViews>
    <workbookView xWindow="-120" yWindow="-120" windowWidth="29040" windowHeight="15840" activeTab="1" xr2:uid="{079E9741-F7DF-4E98-A32C-ABB9A6D68FC6}"/>
  </bookViews>
  <sheets>
    <sheet name="Scenario1 Model v1" sheetId="1" r:id="rId1"/>
    <sheet name="Scenario2 Model v2" sheetId="2" r:id="rId2"/>
    <sheet name="DTDS Spatial Model Scen1" sheetId="4" r:id="rId3"/>
    <sheet name="DTDS Spatial Model Scen2" sheetId="3" r:id="rId4"/>
  </sheets>
  <definedNames>
    <definedName name="_AtRisk_SimSetting_AutomaticallyGenerateReports" hidden="1">FALSE</definedName>
    <definedName name="_AtRisk_SimSetting_AutomaticResultsDisplayMode" localSheetId="2" hidden="1">2</definedName>
    <definedName name="_AtRisk_SimSetting_AutomaticResultsDisplayMode" localSheetId="3" hidden="1">2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"NEFGQLACLXKRVTTESN527Z4F"</definedName>
    <definedName name="PalisadeReportWorkbookCreatedBy">"AtRisk"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1</definedName>
    <definedName name="RiskFixedSeed" hidden="1">101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localSheetId="2" hidden="1">100000</definedName>
    <definedName name="RiskNumIterations" localSheetId="3" hidden="1">100000</definedName>
    <definedName name="RiskNumIterations" hidden="1">1000000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localSheetId="1" hidden="1">"$B$46"</definedName>
    <definedName name="RiskSelectedCell" hidden="1">"$B$56"</definedName>
    <definedName name="RiskSelectedNameCell1" localSheetId="1" hidden="1">"$A$46"</definedName>
    <definedName name="RiskSelectedNameCell1" hidden="1">"$A$56"</definedName>
    <definedName name="RiskSelectedNameCell2" localSheetId="1" hidden="1">"$B$23"</definedName>
    <definedName name="RiskSelectedNameCell2" hidden="1">"$B$9"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7" i="4" l="1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B22" i="4"/>
  <c r="V21" i="4"/>
  <c r="U21" i="4" s="1"/>
  <c r="T21" i="4" s="1"/>
  <c r="H21" i="4"/>
  <c r="G21" i="4"/>
  <c r="B21" i="4"/>
  <c r="V20" i="4"/>
  <c r="U20" i="4"/>
  <c r="H20" i="4"/>
  <c r="G20" i="4"/>
  <c r="B20" i="4"/>
  <c r="Y19" i="4"/>
  <c r="V19" i="4"/>
  <c r="H19" i="4"/>
  <c r="G19" i="4"/>
  <c r="B19" i="4"/>
  <c r="V18" i="4"/>
  <c r="U18" i="4" s="1"/>
  <c r="T18" i="4" s="1"/>
  <c r="H18" i="4"/>
  <c r="G18" i="4"/>
  <c r="B18" i="4"/>
  <c r="V17" i="4"/>
  <c r="U17" i="4" s="1"/>
  <c r="T17" i="4" s="1"/>
  <c r="H17" i="4"/>
  <c r="G17" i="4"/>
  <c r="B17" i="4"/>
  <c r="V16" i="4"/>
  <c r="H16" i="4"/>
  <c r="G16" i="4"/>
  <c r="B16" i="4"/>
  <c r="V15" i="4"/>
  <c r="U16" i="4"/>
  <c r="T16" i="4" s="1"/>
  <c r="U15" i="4"/>
  <c r="T15" i="4" s="1"/>
  <c r="H15" i="4"/>
  <c r="G15" i="4"/>
  <c r="B15" i="4"/>
  <c r="V14" i="4"/>
  <c r="H14" i="4"/>
  <c r="G14" i="4"/>
  <c r="B14" i="4"/>
  <c r="V13" i="4"/>
  <c r="U14" i="4"/>
  <c r="T14" i="4" s="1"/>
  <c r="H13" i="4"/>
  <c r="G13" i="4"/>
  <c r="V12" i="4"/>
  <c r="U13" i="4"/>
  <c r="T13" i="4" s="1"/>
  <c r="H12" i="4"/>
  <c r="G12" i="4"/>
  <c r="V11" i="4"/>
  <c r="H11" i="4"/>
  <c r="G11" i="4"/>
  <c r="V10" i="4"/>
  <c r="U10" i="4" s="1"/>
  <c r="T10" i="4" s="1"/>
  <c r="H10" i="4"/>
  <c r="G10" i="4"/>
  <c r="V9" i="4"/>
  <c r="H9" i="4"/>
  <c r="G9" i="4"/>
  <c r="V8" i="4"/>
  <c r="H8" i="4"/>
  <c r="G8" i="4"/>
  <c r="V7" i="4"/>
  <c r="U7" i="4" s="1"/>
  <c r="T7" i="4" s="1"/>
  <c r="H7" i="4"/>
  <c r="G7" i="4"/>
  <c r="V6" i="4"/>
  <c r="H6" i="4"/>
  <c r="G6" i="4"/>
  <c r="V5" i="4"/>
  <c r="U5" i="4" s="1"/>
  <c r="T5" i="4" s="1"/>
  <c r="H5" i="4"/>
  <c r="G5" i="4"/>
  <c r="Y4" i="4"/>
  <c r="V4" i="4"/>
  <c r="U4" i="4" s="1"/>
  <c r="T4" i="4" s="1"/>
  <c r="H4" i="4"/>
  <c r="G4" i="4"/>
  <c r="A4" i="4"/>
  <c r="AF4" i="4"/>
  <c r="AF5" i="4" s="1"/>
  <c r="AF6" i="4" s="1"/>
  <c r="AF7" i="4" s="1"/>
  <c r="AF8" i="4" s="1"/>
  <c r="AE3" i="4"/>
  <c r="AI3" i="4"/>
  <c r="Y3" i="4"/>
  <c r="V3" i="4"/>
  <c r="U3" i="4"/>
  <c r="T3" i="4" s="1"/>
  <c r="H3" i="4"/>
  <c r="G3" i="4"/>
  <c r="AI2" i="4"/>
  <c r="AH2" i="4" s="1"/>
  <c r="AF2" i="4"/>
  <c r="AF3" i="4" s="1"/>
  <c r="Y2" i="4"/>
  <c r="Y17" i="4" s="1"/>
  <c r="Y21" i="4"/>
  <c r="V2" i="4"/>
  <c r="U2" i="4"/>
  <c r="T2" i="4" s="1"/>
  <c r="S2" i="4"/>
  <c r="S3" i="4"/>
  <c r="S4" i="4" s="1"/>
  <c r="S5" i="4" s="1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H2" i="4"/>
  <c r="G2" i="4"/>
  <c r="AE4" i="4"/>
  <c r="AI4" i="4" s="1"/>
  <c r="AH4" i="4" s="1"/>
  <c r="Y9" i="4"/>
  <c r="AA6" i="4" s="1" a="1"/>
  <c r="AA6" i="4" s="1"/>
  <c r="AE5" i="4"/>
  <c r="AI5" i="4" s="1"/>
  <c r="AE6" i="4"/>
  <c r="AE7" i="4" s="1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V49" i="3"/>
  <c r="U49" i="3" s="1"/>
  <c r="T49" i="3" s="1"/>
  <c r="H49" i="3"/>
  <c r="G49" i="3"/>
  <c r="V48" i="3"/>
  <c r="U48" i="3"/>
  <c r="T48" i="3" s="1"/>
  <c r="H48" i="3"/>
  <c r="G48" i="3"/>
  <c r="V47" i="3"/>
  <c r="U47" i="3"/>
  <c r="T47" i="3" s="1"/>
  <c r="H47" i="3"/>
  <c r="G47" i="3"/>
  <c r="V46" i="3"/>
  <c r="H46" i="3"/>
  <c r="G46" i="3"/>
  <c r="V45" i="3"/>
  <c r="U46" i="3" s="1"/>
  <c r="T46" i="3" s="1"/>
  <c r="H45" i="3"/>
  <c r="G45" i="3"/>
  <c r="V44" i="3"/>
  <c r="H44" i="3"/>
  <c r="G44" i="3"/>
  <c r="V43" i="3"/>
  <c r="U43" i="3"/>
  <c r="T43" i="3" s="1"/>
  <c r="H43" i="3"/>
  <c r="G43" i="3"/>
  <c r="V42" i="3"/>
  <c r="H42" i="3"/>
  <c r="G42" i="3"/>
  <c r="V41" i="3"/>
  <c r="U42" i="3"/>
  <c r="T42" i="3" s="1"/>
  <c r="H41" i="3"/>
  <c r="G41" i="3"/>
  <c r="V40" i="3"/>
  <c r="H40" i="3"/>
  <c r="G40" i="3"/>
  <c r="V39" i="3"/>
  <c r="U39" i="3" s="1"/>
  <c r="T39" i="3"/>
  <c r="H39" i="3"/>
  <c r="G39" i="3"/>
  <c r="V38" i="3"/>
  <c r="U38" i="3"/>
  <c r="T38" i="3" s="1"/>
  <c r="H38" i="3"/>
  <c r="G38" i="3"/>
  <c r="V37" i="3"/>
  <c r="U37" i="3" s="1"/>
  <c r="T37" i="3" s="1"/>
  <c r="H37" i="3"/>
  <c r="G37" i="3"/>
  <c r="V36" i="3"/>
  <c r="U36" i="3"/>
  <c r="T36" i="3" s="1"/>
  <c r="H36" i="3"/>
  <c r="G36" i="3"/>
  <c r="V35" i="3"/>
  <c r="U35" i="3"/>
  <c r="T35" i="3"/>
  <c r="H35" i="3"/>
  <c r="G35" i="3"/>
  <c r="V34" i="3"/>
  <c r="U34" i="3"/>
  <c r="T34" i="3"/>
  <c r="H34" i="3"/>
  <c r="G34" i="3"/>
  <c r="V33" i="3"/>
  <c r="U33" i="3"/>
  <c r="T33" i="3" s="1"/>
  <c r="H33" i="3"/>
  <c r="G33" i="3"/>
  <c r="V32" i="3"/>
  <c r="U32" i="3" s="1"/>
  <c r="T32" i="3" s="1"/>
  <c r="H32" i="3"/>
  <c r="G32" i="3"/>
  <c r="V31" i="3"/>
  <c r="U31" i="3" s="1"/>
  <c r="T31" i="3"/>
  <c r="H31" i="3"/>
  <c r="G31" i="3"/>
  <c r="V30" i="3"/>
  <c r="H30" i="3"/>
  <c r="G30" i="3"/>
  <c r="V29" i="3"/>
  <c r="U29" i="3" s="1"/>
  <c r="T29" i="3" s="1"/>
  <c r="H29" i="3"/>
  <c r="G29" i="3"/>
  <c r="V28" i="3"/>
  <c r="H28" i="3"/>
  <c r="G28" i="3"/>
  <c r="V27" i="3"/>
  <c r="U27" i="3" s="1"/>
  <c r="H27" i="3"/>
  <c r="G27" i="3"/>
  <c r="V26" i="3"/>
  <c r="H26" i="3"/>
  <c r="G26" i="3"/>
  <c r="V25" i="3"/>
  <c r="U26" i="3" s="1"/>
  <c r="T26" i="3" s="1"/>
  <c r="H25" i="3"/>
  <c r="G25" i="3"/>
  <c r="V24" i="3"/>
  <c r="U24" i="3"/>
  <c r="T24" i="3" s="1"/>
  <c r="H24" i="3"/>
  <c r="G24" i="3"/>
  <c r="V23" i="3"/>
  <c r="H23" i="3"/>
  <c r="G23" i="3"/>
  <c r="V22" i="3"/>
  <c r="U23" i="3"/>
  <c r="T23" i="3" s="1"/>
  <c r="H22" i="3"/>
  <c r="G22" i="3"/>
  <c r="B22" i="3"/>
  <c r="V21" i="3"/>
  <c r="H21" i="3"/>
  <c r="G21" i="3"/>
  <c r="B21" i="3"/>
  <c r="V20" i="3"/>
  <c r="U20" i="3" s="1"/>
  <c r="T20" i="3" s="1"/>
  <c r="H20" i="3"/>
  <c r="G20" i="3"/>
  <c r="B20" i="3"/>
  <c r="Y19" i="3"/>
  <c r="V19" i="3"/>
  <c r="U19" i="3"/>
  <c r="T19" i="3" s="1"/>
  <c r="H19" i="3"/>
  <c r="G19" i="3"/>
  <c r="B19" i="3"/>
  <c r="V18" i="3"/>
  <c r="U18" i="3"/>
  <c r="T18" i="3" s="1"/>
  <c r="H18" i="3"/>
  <c r="G18" i="3"/>
  <c r="B18" i="3"/>
  <c r="V17" i="3"/>
  <c r="H17" i="3"/>
  <c r="G17" i="3"/>
  <c r="B17" i="3"/>
  <c r="V16" i="3"/>
  <c r="H16" i="3"/>
  <c r="G16" i="3"/>
  <c r="B16" i="3"/>
  <c r="V15" i="3"/>
  <c r="U15" i="3" s="1"/>
  <c r="T15" i="3" s="1"/>
  <c r="H15" i="3"/>
  <c r="G15" i="3"/>
  <c r="B15" i="3"/>
  <c r="V14" i="3"/>
  <c r="U14" i="3"/>
  <c r="T14" i="3"/>
  <c r="H14" i="3"/>
  <c r="G14" i="3"/>
  <c r="B14" i="3"/>
  <c r="V13" i="3"/>
  <c r="H13" i="3"/>
  <c r="G13" i="3"/>
  <c r="V12" i="3"/>
  <c r="U13" i="3"/>
  <c r="T13" i="3" s="1"/>
  <c r="U12" i="3"/>
  <c r="T12" i="3" s="1"/>
  <c r="H12" i="3"/>
  <c r="G12" i="3"/>
  <c r="V11" i="3"/>
  <c r="U11" i="3" s="1"/>
  <c r="T11" i="3" s="1"/>
  <c r="H11" i="3"/>
  <c r="G11" i="3"/>
  <c r="V10" i="3"/>
  <c r="H10" i="3"/>
  <c r="G10" i="3"/>
  <c r="V9" i="3"/>
  <c r="U10" i="3" s="1"/>
  <c r="T10" i="3" s="1"/>
  <c r="H9" i="3"/>
  <c r="G9" i="3"/>
  <c r="V8" i="3"/>
  <c r="H8" i="3"/>
  <c r="G8" i="3"/>
  <c r="V7" i="3"/>
  <c r="U8" i="3" s="1"/>
  <c r="T8" i="3" s="1"/>
  <c r="U7" i="3"/>
  <c r="T7" i="3" s="1"/>
  <c r="H7" i="3"/>
  <c r="G7" i="3"/>
  <c r="V6" i="3"/>
  <c r="H6" i="3"/>
  <c r="G6" i="3"/>
  <c r="V5" i="3"/>
  <c r="U5" i="3" s="1"/>
  <c r="T5" i="3" s="1"/>
  <c r="H5" i="3"/>
  <c r="G5" i="3"/>
  <c r="Y4" i="3"/>
  <c r="V4" i="3"/>
  <c r="U4" i="3"/>
  <c r="T4" i="3"/>
  <c r="H4" i="3"/>
  <c r="G4" i="3"/>
  <c r="A4" i="3"/>
  <c r="AI3" i="3"/>
  <c r="AH3" i="3"/>
  <c r="AE3" i="3"/>
  <c r="AE4" i="3"/>
  <c r="Y3" i="3"/>
  <c r="V3" i="3"/>
  <c r="H3" i="3"/>
  <c r="G3" i="3"/>
  <c r="AI2" i="3"/>
  <c r="AH2" i="3"/>
  <c r="AF2" i="3"/>
  <c r="AF3" i="3"/>
  <c r="AF4" i="3"/>
  <c r="AF5" i="3" s="1"/>
  <c r="AF6" i="3" s="1"/>
  <c r="AF7" i="3" s="1"/>
  <c r="AF8" i="3"/>
  <c r="AF9" i="3" s="1"/>
  <c r="V2" i="3"/>
  <c r="U3" i="3" s="1"/>
  <c r="T3" i="3" s="1"/>
  <c r="S2" i="3"/>
  <c r="S3" i="3" s="1"/>
  <c r="S4" i="3" s="1"/>
  <c r="S5" i="3" s="1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H2" i="3"/>
  <c r="G2" i="3"/>
  <c r="AE5" i="3"/>
  <c r="AI5" i="3" s="1"/>
  <c r="AI4" i="3"/>
  <c r="U22" i="3"/>
  <c r="T22" i="3" s="1"/>
  <c r="T27" i="3"/>
  <c r="U44" i="3"/>
  <c r="T44" i="3"/>
  <c r="Y2" i="3"/>
  <c r="U41" i="3"/>
  <c r="T41" i="3" s="1"/>
  <c r="AH5" i="3"/>
  <c r="AE6" i="3"/>
  <c r="AE7" i="3" s="1"/>
  <c r="Y17" i="3"/>
  <c r="Y21" i="3"/>
  <c r="Y9" i="3"/>
  <c r="Y10" i="3" s="1"/>
  <c r="AB6" i="3" a="1"/>
  <c r="AB6" i="3"/>
  <c r="D44" i="2"/>
  <c r="F44" i="2"/>
  <c r="B44" i="2" s="1"/>
  <c r="B45" i="2" s="1"/>
  <c r="B39" i="2"/>
  <c r="B32" i="2"/>
  <c r="B35" i="2"/>
  <c r="B40" i="2" s="1"/>
  <c r="B29" i="2"/>
  <c r="D11" i="2"/>
  <c r="E11" i="2" s="1"/>
  <c r="D13" i="2" s="1"/>
  <c r="B8" i="2"/>
  <c r="F5" i="2"/>
  <c r="E5" i="2"/>
  <c r="B5" i="2"/>
  <c r="B36" i="2"/>
  <c r="D36" i="2" s="1"/>
  <c r="F84" i="1"/>
  <c r="B84" i="1" s="1"/>
  <c r="B85" i="1" s="1"/>
  <c r="D84" i="1"/>
  <c r="B79" i="1"/>
  <c r="B72" i="1"/>
  <c r="B75" i="1"/>
  <c r="B76" i="1" s="1"/>
  <c r="D76" i="1" s="1"/>
  <c r="B69" i="1"/>
  <c r="B60" i="1"/>
  <c r="B58" i="1"/>
  <c r="B59" i="1" s="1"/>
  <c r="B53" i="1"/>
  <c r="B48" i="1"/>
  <c r="B44" i="1"/>
  <c r="B39" i="1"/>
  <c r="B33" i="1"/>
  <c r="B31" i="1"/>
  <c r="B27" i="1"/>
  <c r="B16" i="1"/>
  <c r="B14" i="1"/>
  <c r="B8" i="1"/>
  <c r="B63" i="1" s="1"/>
  <c r="F5" i="1"/>
  <c r="E5" i="1"/>
  <c r="B5" i="1"/>
  <c r="B22" i="1" s="1"/>
  <c r="B34" i="1"/>
  <c r="B17" i="1"/>
  <c r="B80" i="1"/>
  <c r="B83" i="1"/>
  <c r="B81" i="1"/>
  <c r="D81" i="1" s="1"/>
  <c r="D80" i="1"/>
  <c r="E50" i="4" l="1"/>
  <c r="F54" i="4"/>
  <c r="F19" i="4"/>
  <c r="F23" i="4"/>
  <c r="F27" i="4"/>
  <c r="E31" i="4"/>
  <c r="E40" i="4"/>
  <c r="E4" i="4"/>
  <c r="E35" i="4"/>
  <c r="E33" i="4"/>
  <c r="E42" i="3"/>
  <c r="E47" i="3"/>
  <c r="E49" i="3"/>
  <c r="F6" i="4"/>
  <c r="F13" i="3"/>
  <c r="E29" i="3"/>
  <c r="F44" i="3"/>
  <c r="E52" i="3"/>
  <c r="E56" i="3"/>
  <c r="E3" i="4"/>
  <c r="E18" i="4"/>
  <c r="F25" i="4"/>
  <c r="F29" i="4"/>
  <c r="F33" i="4"/>
  <c r="F41" i="4"/>
  <c r="F49" i="4"/>
  <c r="E18" i="3"/>
  <c r="E39" i="3"/>
  <c r="E51" i="3"/>
  <c r="E20" i="3"/>
  <c r="E34" i="3"/>
  <c r="F49" i="3"/>
  <c r="E24" i="4"/>
  <c r="F28" i="4"/>
  <c r="E44" i="4"/>
  <c r="E52" i="4"/>
  <c r="F53" i="4"/>
  <c r="E57" i="4"/>
  <c r="E10" i="3"/>
  <c r="E33" i="3"/>
  <c r="F41" i="3"/>
  <c r="F48" i="3"/>
  <c r="F26" i="3"/>
  <c r="E20" i="4"/>
  <c r="E13" i="3"/>
  <c r="F29" i="3"/>
  <c r="F34" i="3"/>
  <c r="F56" i="3"/>
  <c r="F22" i="4"/>
  <c r="F38" i="4"/>
  <c r="E46" i="4"/>
  <c r="F20" i="3"/>
  <c r="F39" i="3"/>
  <c r="E9" i="3"/>
  <c r="E15" i="3"/>
  <c r="E17" i="3"/>
  <c r="F27" i="3"/>
  <c r="F32" i="3"/>
  <c r="F38" i="3"/>
  <c r="E53" i="3"/>
  <c r="F57" i="3"/>
  <c r="E55" i="4"/>
  <c r="F32" i="4"/>
  <c r="E36" i="4"/>
  <c r="F40" i="4"/>
  <c r="F43" i="3"/>
  <c r="E25" i="4"/>
  <c r="E37" i="4"/>
  <c r="E41" i="4"/>
  <c r="E21" i="3"/>
  <c r="F35" i="3"/>
  <c r="F46" i="3"/>
  <c r="F11" i="4"/>
  <c r="F15" i="4"/>
  <c r="F42" i="4"/>
  <c r="F55" i="4"/>
  <c r="E38" i="3"/>
  <c r="F51" i="3"/>
  <c r="F4" i="3"/>
  <c r="F37" i="3"/>
  <c r="F37" i="4"/>
  <c r="E9" i="4"/>
  <c r="E17" i="4"/>
  <c r="E19" i="4"/>
  <c r="I19" i="4" s="1"/>
  <c r="E23" i="4"/>
  <c r="E27" i="4"/>
  <c r="I27" i="4" s="1"/>
  <c r="F35" i="4"/>
  <c r="I35" i="4" s="1"/>
  <c r="E39" i="4"/>
  <c r="F43" i="4"/>
  <c r="E47" i="4"/>
  <c r="F51" i="4"/>
  <c r="E44" i="3"/>
  <c r="I44" i="3" s="1"/>
  <c r="E37" i="3"/>
  <c r="F53" i="3"/>
  <c r="E38" i="4"/>
  <c r="E15" i="4"/>
  <c r="E19" i="3"/>
  <c r="E30" i="3"/>
  <c r="E45" i="3"/>
  <c r="E8" i="4"/>
  <c r="E49" i="4"/>
  <c r="F39" i="4"/>
  <c r="E29" i="4"/>
  <c r="E27" i="3"/>
  <c r="E42" i="4"/>
  <c r="F8" i="4"/>
  <c r="F20" i="4"/>
  <c r="E22" i="4"/>
  <c r="F26" i="4"/>
  <c r="E30" i="4"/>
  <c r="E34" i="4"/>
  <c r="E7" i="3"/>
  <c r="F12" i="3"/>
  <c r="F52" i="4"/>
  <c r="F4" i="4"/>
  <c r="F47" i="4"/>
  <c r="E51" i="4"/>
  <c r="I51" i="4" s="1"/>
  <c r="F45" i="3"/>
  <c r="F50" i="3"/>
  <c r="F21" i="3"/>
  <c r="F33" i="3"/>
  <c r="E41" i="3"/>
  <c r="I41" i="3" s="1"/>
  <c r="E12" i="4"/>
  <c r="E50" i="3"/>
  <c r="F8" i="3"/>
  <c r="F18" i="3"/>
  <c r="E26" i="3"/>
  <c r="I26" i="3" s="1"/>
  <c r="E31" i="3"/>
  <c r="E35" i="3"/>
  <c r="E46" i="3"/>
  <c r="E55" i="3"/>
  <c r="E10" i="4"/>
  <c r="F24" i="4"/>
  <c r="E32" i="4"/>
  <c r="F36" i="4"/>
  <c r="F44" i="4"/>
  <c r="E56" i="4"/>
  <c r="E54" i="3"/>
  <c r="E2" i="3"/>
  <c r="F14" i="3"/>
  <c r="E43" i="3"/>
  <c r="F16" i="4"/>
  <c r="F57" i="4"/>
  <c r="F54" i="3"/>
  <c r="E14" i="3"/>
  <c r="F55" i="3"/>
  <c r="E3" i="3"/>
  <c r="E5" i="3"/>
  <c r="E28" i="3"/>
  <c r="F9" i="4"/>
  <c r="F31" i="4"/>
  <c r="E43" i="4"/>
  <c r="E12" i="3"/>
  <c r="F56" i="4"/>
  <c r="D12" i="2"/>
  <c r="E12" i="2" s="1"/>
  <c r="E18" i="2" s="1"/>
  <c r="E4" i="3"/>
  <c r="F15" i="3"/>
  <c r="F10" i="3"/>
  <c r="E7" i="4"/>
  <c r="F21" i="4"/>
  <c r="E57" i="3"/>
  <c r="F2" i="3"/>
  <c r="F28" i="3"/>
  <c r="E11" i="3"/>
  <c r="E24" i="3"/>
  <c r="F42" i="3"/>
  <c r="I42" i="3" s="1"/>
  <c r="F52" i="3"/>
  <c r="E5" i="4"/>
  <c r="F18" i="4"/>
  <c r="E14" i="4"/>
  <c r="F17" i="3"/>
  <c r="E32" i="3"/>
  <c r="I32" i="3" s="1"/>
  <c r="F7" i="4"/>
  <c r="F14" i="4"/>
  <c r="E13" i="4"/>
  <c r="E25" i="3"/>
  <c r="F30" i="3"/>
  <c r="F3" i="4"/>
  <c r="E54" i="4"/>
  <c r="I54" i="4" s="1"/>
  <c r="B49" i="2"/>
  <c r="B46" i="2"/>
  <c r="B47" i="2" s="1"/>
  <c r="B86" i="1"/>
  <c r="B87" i="1" s="1"/>
  <c r="B89" i="1"/>
  <c r="D40" i="2"/>
  <c r="B43" i="2"/>
  <c r="B41" i="2"/>
  <c r="D41" i="2" s="1"/>
  <c r="AE8" i="3"/>
  <c r="AI7" i="3"/>
  <c r="B24" i="1"/>
  <c r="B41" i="1"/>
  <c r="F5" i="3"/>
  <c r="F7" i="3"/>
  <c r="U2" i="3"/>
  <c r="T2" i="3" s="1"/>
  <c r="AE8" i="4"/>
  <c r="AI8" i="4" s="1"/>
  <c r="AH8" i="4" s="1"/>
  <c r="AG8" i="4" s="1"/>
  <c r="AI7" i="4"/>
  <c r="AH5" i="4"/>
  <c r="F11" i="3"/>
  <c r="I11" i="3" s="1"/>
  <c r="U6" i="3"/>
  <c r="T6" i="3" s="1"/>
  <c r="E22" i="3"/>
  <c r="F22" i="3"/>
  <c r="F3" i="3"/>
  <c r="U9" i="3"/>
  <c r="T9" i="3" s="1"/>
  <c r="F16" i="3"/>
  <c r="E16" i="3"/>
  <c r="B19" i="1"/>
  <c r="AI6" i="3"/>
  <c r="AH6" i="3" s="1"/>
  <c r="AB5" i="3" a="1"/>
  <c r="AB5" i="3" s="1"/>
  <c r="AA5" i="3" a="1"/>
  <c r="AA5" i="3" s="1"/>
  <c r="AC5" i="3" s="1"/>
  <c r="AH4" i="3"/>
  <c r="E8" i="3"/>
  <c r="AC6" i="4"/>
  <c r="F9" i="3"/>
  <c r="F24" i="3"/>
  <c r="B36" i="1"/>
  <c r="F6" i="3"/>
  <c r="E6" i="3"/>
  <c r="U16" i="3"/>
  <c r="T16" i="3" s="1"/>
  <c r="B50" i="1"/>
  <c r="B55" i="1"/>
  <c r="E13" i="2"/>
  <c r="AA6" i="3" a="1"/>
  <c r="AA6" i="3" s="1"/>
  <c r="AC6" i="3" s="1"/>
  <c r="U21" i="3"/>
  <c r="T21" i="3" s="1"/>
  <c r="E36" i="3"/>
  <c r="F36" i="3"/>
  <c r="AB6" i="4" a="1"/>
  <c r="AB6" i="4" s="1"/>
  <c r="U17" i="3"/>
  <c r="T17" i="3" s="1"/>
  <c r="E23" i="3"/>
  <c r="F25" i="3"/>
  <c r="U40" i="3"/>
  <c r="T40" i="3" s="1"/>
  <c r="Y10" i="4"/>
  <c r="E16" i="4"/>
  <c r="F10" i="4"/>
  <c r="F5" i="4"/>
  <c r="U6" i="4"/>
  <c r="T6" i="4" s="1"/>
  <c r="U12" i="4"/>
  <c r="T12" i="4" s="1"/>
  <c r="U11" i="4"/>
  <c r="T11" i="4" s="1"/>
  <c r="T20" i="4"/>
  <c r="F30" i="4"/>
  <c r="I30" i="4" s="1"/>
  <c r="F46" i="4"/>
  <c r="I46" i="4" s="1"/>
  <c r="F50" i="4"/>
  <c r="I50" i="4" s="1"/>
  <c r="F19" i="3"/>
  <c r="I19" i="3" s="1"/>
  <c r="U30" i="3"/>
  <c r="T30" i="3" s="1"/>
  <c r="AI6" i="4"/>
  <c r="AH6" i="4" s="1"/>
  <c r="E11" i="4"/>
  <c r="I11" i="4" s="1"/>
  <c r="E26" i="4"/>
  <c r="F34" i="4"/>
  <c r="F13" i="4"/>
  <c r="AH3" i="4"/>
  <c r="F17" i="4"/>
  <c r="I17" i="4" s="1"/>
  <c r="F23" i="3"/>
  <c r="U25" i="3"/>
  <c r="T25" i="3" s="1"/>
  <c r="U45" i="3"/>
  <c r="T45" i="3" s="1"/>
  <c r="E48" i="3"/>
  <c r="E21" i="4"/>
  <c r="E28" i="4"/>
  <c r="I28" i="4" s="1"/>
  <c r="U9" i="4"/>
  <c r="T9" i="4" s="1"/>
  <c r="F12" i="4"/>
  <c r="F48" i="4"/>
  <c r="E48" i="4"/>
  <c r="U28" i="3"/>
  <c r="T28" i="3" s="1"/>
  <c r="F31" i="3"/>
  <c r="U19" i="4"/>
  <c r="T19" i="4" s="1"/>
  <c r="E6" i="4"/>
  <c r="F47" i="3"/>
  <c r="F40" i="3"/>
  <c r="E40" i="3"/>
  <c r="F2" i="4"/>
  <c r="E2" i="4"/>
  <c r="U8" i="4"/>
  <c r="T8" i="4" s="1"/>
  <c r="E45" i="4"/>
  <c r="F45" i="4"/>
  <c r="E53" i="4"/>
  <c r="I53" i="4" s="1"/>
  <c r="I6" i="4" l="1"/>
  <c r="I31" i="4"/>
  <c r="I13" i="3"/>
  <c r="I9" i="3"/>
  <c r="I40" i="4"/>
  <c r="I23" i="4"/>
  <c r="I41" i="4"/>
  <c r="I49" i="3"/>
  <c r="I25" i="4"/>
  <c r="I39" i="4"/>
  <c r="I51" i="3"/>
  <c r="I18" i="4"/>
  <c r="I52" i="4"/>
  <c r="I36" i="4"/>
  <c r="I33" i="4"/>
  <c r="I3" i="4"/>
  <c r="I34" i="3"/>
  <c r="I47" i="3"/>
  <c r="I53" i="3"/>
  <c r="I29" i="3"/>
  <c r="I4" i="4"/>
  <c r="I20" i="4"/>
  <c r="I39" i="3"/>
  <c r="I33" i="3"/>
  <c r="I15" i="3"/>
  <c r="I16" i="3"/>
  <c r="I37" i="4"/>
  <c r="I44" i="4"/>
  <c r="I38" i="3"/>
  <c r="I12" i="4"/>
  <c r="I57" i="4"/>
  <c r="I18" i="3"/>
  <c r="I42" i="4"/>
  <c r="I56" i="4"/>
  <c r="I29" i="4"/>
  <c r="I48" i="3"/>
  <c r="I52" i="3"/>
  <c r="I10" i="3"/>
  <c r="I49" i="4"/>
  <c r="I38" i="4"/>
  <c r="I56" i="3"/>
  <c r="I15" i="4"/>
  <c r="I22" i="4"/>
  <c r="I54" i="3"/>
  <c r="I45" i="3"/>
  <c r="I37" i="3"/>
  <c r="I55" i="4"/>
  <c r="I57" i="3"/>
  <c r="I20" i="3"/>
  <c r="I43" i="3"/>
  <c r="I24" i="4"/>
  <c r="I50" i="3"/>
  <c r="I27" i="3"/>
  <c r="I17" i="3"/>
  <c r="I4" i="3"/>
  <c r="I12" i="3"/>
  <c r="I46" i="3"/>
  <c r="I7" i="3"/>
  <c r="I2" i="3"/>
  <c r="I47" i="4"/>
  <c r="I5" i="4"/>
  <c r="I32" i="4"/>
  <c r="I21" i="3"/>
  <c r="I26" i="4"/>
  <c r="I48" i="4"/>
  <c r="I25" i="3"/>
  <c r="I30" i="3"/>
  <c r="I43" i="4"/>
  <c r="I8" i="4"/>
  <c r="I16" i="4"/>
  <c r="I31" i="3"/>
  <c r="I34" i="4"/>
  <c r="I9" i="4"/>
  <c r="I35" i="3"/>
  <c r="I24" i="3"/>
  <c r="I55" i="3"/>
  <c r="I10" i="4"/>
  <c r="I8" i="3"/>
  <c r="I21" i="4"/>
  <c r="I13" i="4"/>
  <c r="I28" i="3"/>
  <c r="I14" i="3"/>
  <c r="I5" i="3"/>
  <c r="I3" i="3"/>
  <c r="I14" i="4"/>
  <c r="E17" i="2"/>
  <c r="E20" i="2"/>
  <c r="D14" i="2"/>
  <c r="E14" i="2" s="1"/>
  <c r="I7" i="4"/>
  <c r="Y5" i="3"/>
  <c r="Y13" i="3" s="1"/>
  <c r="Y22" i="3" s="1"/>
  <c r="Y24" i="3" s="1"/>
  <c r="AH7" i="3"/>
  <c r="AG3" i="4"/>
  <c r="I2" i="4"/>
  <c r="I36" i="3"/>
  <c r="I6" i="3"/>
  <c r="AH7" i="4"/>
  <c r="AG7" i="4" s="1"/>
  <c r="AE9" i="3"/>
  <c r="AI9" i="3" s="1"/>
  <c r="AI8" i="3"/>
  <c r="AG6" i="3" s="1"/>
  <c r="I40" i="3"/>
  <c r="I22" i="3"/>
  <c r="AA5" i="4" a="1"/>
  <c r="AA5" i="4" s="1"/>
  <c r="AC5" i="4" s="1"/>
  <c r="Y5" i="4" s="1"/>
  <c r="Y13" i="4" s="1"/>
  <c r="Y22" i="4" s="1"/>
  <c r="Y24" i="4" s="1"/>
  <c r="AB5" i="4" a="1"/>
  <c r="AB5" i="4" s="1"/>
  <c r="AG6" i="4"/>
  <c r="I23" i="3"/>
  <c r="L14" i="3" s="1"/>
  <c r="L15" i="3" s="1"/>
  <c r="AG4" i="4"/>
  <c r="AG2" i="4"/>
  <c r="B61" i="1"/>
  <c r="I45" i="4"/>
  <c r="AG5" i="4"/>
  <c r="E19" i="2"/>
  <c r="E21" i="2" s="1"/>
  <c r="L17" i="3" l="1"/>
  <c r="L18" i="3" s="1"/>
  <c r="L10" i="3"/>
  <c r="L11" i="3"/>
  <c r="AG4" i="3"/>
  <c r="L11" i="4"/>
  <c r="L12" i="4"/>
  <c r="L14" i="4"/>
  <c r="L15" i="4" s="1"/>
  <c r="L10" i="4"/>
  <c r="AH8" i="3"/>
  <c r="AG8" i="3" s="1"/>
  <c r="AG2" i="3"/>
  <c r="AG5" i="3"/>
  <c r="AG3" i="3"/>
  <c r="L12" i="3"/>
  <c r="AG7" i="3"/>
  <c r="AH9" i="3"/>
  <c r="AG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<sst xmlns="http://schemas.openxmlformats.org/spreadsheetml/2006/main" count="267" uniqueCount="109">
  <si>
    <t>Phyllosticta Case study Scenario 1</t>
  </si>
  <si>
    <t>Common parameters</t>
  </si>
  <si>
    <t>Lower</t>
  </si>
  <si>
    <t>Upper</t>
  </si>
  <si>
    <t>Mean</t>
  </si>
  <si>
    <t>Host plant density</t>
  </si>
  <si>
    <t>no/km2</t>
  </si>
  <si>
    <t>Population radius</t>
  </si>
  <si>
    <t>km</t>
  </si>
  <si>
    <t>Inspection time per plant</t>
  </si>
  <si>
    <t>h</t>
  </si>
  <si>
    <t>Band 1</t>
  </si>
  <si>
    <t>PIZ side length</t>
  </si>
  <si>
    <t>PIZ area</t>
  </si>
  <si>
    <t>km2</t>
  </si>
  <si>
    <t>Outer band width</t>
  </si>
  <si>
    <t>Total area</t>
  </si>
  <si>
    <t>Outer band area</t>
  </si>
  <si>
    <t>Outer band trees, total</t>
  </si>
  <si>
    <t>no</t>
  </si>
  <si>
    <t>target infestation rate</t>
  </si>
  <si>
    <t>no/tree</t>
  </si>
  <si>
    <t>target infestation density</t>
  </si>
  <si>
    <t>n</t>
  </si>
  <si>
    <t>Effective sample area</t>
  </si>
  <si>
    <t>infestation rate (no/tree)</t>
  </si>
  <si>
    <t>Infested trees</t>
  </si>
  <si>
    <t>Band 2</t>
  </si>
  <si>
    <t>Band 3</t>
  </si>
  <si>
    <t>Band trees, total</t>
  </si>
  <si>
    <t>Detection?</t>
  </si>
  <si>
    <t>Total sample size</t>
  </si>
  <si>
    <t>Total sample area</t>
  </si>
  <si>
    <t>Original/ inspection time, total</t>
  </si>
  <si>
    <t>Transect radius</t>
  </si>
  <si>
    <t>Transect no., base</t>
  </si>
  <si>
    <t>Transect length, total</t>
  </si>
  <si>
    <t>Target infestation rate</t>
  </si>
  <si>
    <t>no/plant</t>
  </si>
  <si>
    <t>Infestation density</t>
  </si>
  <si>
    <t>target n</t>
  </si>
  <si>
    <t>Acrit</t>
  </si>
  <si>
    <t>W0</t>
  </si>
  <si>
    <t>m</t>
  </si>
  <si>
    <t>Transect no, alternate</t>
  </si>
  <si>
    <t>Total transect length</t>
  </si>
  <si>
    <t>Transect width, alternate</t>
  </si>
  <si>
    <t>Total width</t>
  </si>
  <si>
    <t>Transect area, total</t>
  </si>
  <si>
    <t>Trees per transect</t>
  </si>
  <si>
    <t>trees/m</t>
  </si>
  <si>
    <t>trees/km</t>
  </si>
  <si>
    <t>Transect trees, total</t>
  </si>
  <si>
    <t>TDDS/ Infested plants</t>
  </si>
  <si>
    <t>TDDS/ inspection time, total</t>
  </si>
  <si>
    <t>Phyllosticta Case study Scenario 2</t>
  </si>
  <si>
    <t>EFSA Plan</t>
  </si>
  <si>
    <t>Infected trees</t>
  </si>
  <si>
    <t>Band1</t>
  </si>
  <si>
    <t>Band2</t>
  </si>
  <si>
    <t>Band0</t>
  </si>
  <si>
    <t>Band-1</t>
  </si>
  <si>
    <t>Outcomes</t>
  </si>
  <si>
    <t>Both?</t>
  </si>
  <si>
    <t>Failure?</t>
  </si>
  <si>
    <t>Sample size</t>
  </si>
  <si>
    <t>Sample area</t>
  </si>
  <si>
    <t>Inspection time</t>
  </si>
  <si>
    <t>Target infection rate</t>
  </si>
  <si>
    <t>Detection</t>
  </si>
  <si>
    <t>X1</t>
  </si>
  <si>
    <t>Y1</t>
  </si>
  <si>
    <t>Angle1</t>
  </si>
  <si>
    <t>Distance1</t>
  </si>
  <si>
    <t>D from origin</t>
  </si>
  <si>
    <t>Bins</t>
  </si>
  <si>
    <t>Mid pts</t>
  </si>
  <si>
    <t>Proprtn</t>
  </si>
  <si>
    <t>Freq</t>
  </si>
  <si>
    <t>Count</t>
  </si>
  <si>
    <t>angle</t>
  </si>
  <si>
    <t>distance</t>
  </si>
  <si>
    <t>sd</t>
  </si>
  <si>
    <t>range</t>
  </si>
  <si>
    <t>v1</t>
  </si>
  <si>
    <t>v2</t>
  </si>
  <si>
    <t>mn</t>
  </si>
  <si>
    <t>IQR</t>
  </si>
  <si>
    <t>radius</t>
  </si>
  <si>
    <t>quartiles</t>
  </si>
  <si>
    <t>mean</t>
  </si>
  <si>
    <t>min</t>
  </si>
  <si>
    <t>max</t>
  </si>
  <si>
    <t>Transect</t>
  </si>
  <si>
    <t>FD</t>
  </si>
  <si>
    <t>&lt;400</t>
  </si>
  <si>
    <t>&lt;half</t>
  </si>
  <si>
    <t>K</t>
  </si>
  <si>
    <t>Max</t>
  </si>
  <si>
    <t>K bin</t>
  </si>
  <si>
    <t>FD bin</t>
  </si>
  <si>
    <t>Legend</t>
  </si>
  <si>
    <t>Point estimate</t>
  </si>
  <si>
    <t>Calculated value</t>
  </si>
  <si>
    <t>Probabilistic term</t>
  </si>
  <si>
    <t>Lookup value</t>
  </si>
  <si>
    <t>Output value</t>
  </si>
  <si>
    <t>DTDS Plan</t>
  </si>
  <si>
    <t>EFSA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</si>
</sst>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000"/>
    <numFmt numFmtId="165" formatCode="#,##0.0"/>
    <numFmt numFmtId="166" formatCode="#,##0.0000"/>
    <numFmt numFmtId="167" formatCode="0.0000"/>
    <numFmt numFmtId="168" formatCode="0.0"/>
    <numFmt numFmtId="169" formatCode="0.000"/>
    <numFmt numFmtId="170" formatCode="_(* #,##0_);_(* \(#,##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2" fontId="0" fillId="0" borderId="0" xfId="0" applyNumberFormat="1"/>
    <xf numFmtId="3" fontId="0" fillId="2" borderId="0" xfId="0" applyNumberFormat="1" applyFill="1"/>
    <xf numFmtId="164" fontId="0" fillId="0" borderId="0" xfId="0" applyNumberFormat="1"/>
    <xf numFmtId="3" fontId="0" fillId="3" borderId="0" xfId="0" applyNumberFormat="1" applyFill="1"/>
    <xf numFmtId="0" fontId="0" fillId="3" borderId="0" xfId="0" applyFill="1"/>
    <xf numFmtId="3" fontId="0" fillId="0" borderId="0" xfId="0" applyNumberFormat="1"/>
    <xf numFmtId="2" fontId="0" fillId="3" borderId="0" xfId="0" applyNumberFormat="1" applyFill="1"/>
    <xf numFmtId="0" fontId="0" fillId="4" borderId="0" xfId="0" applyFill="1"/>
    <xf numFmtId="3" fontId="0" fillId="4" borderId="0" xfId="0" applyNumberFormat="1" applyFill="1"/>
    <xf numFmtId="2" fontId="0" fillId="4" borderId="0" xfId="0" applyNumberFormat="1" applyFill="1"/>
    <xf numFmtId="165" fontId="0" fillId="2" borderId="0" xfId="0" applyNumberFormat="1" applyFill="1"/>
    <xf numFmtId="165" fontId="0" fillId="0" borderId="0" xfId="0" applyNumberFormat="1"/>
    <xf numFmtId="166" fontId="0" fillId="4" borderId="0" xfId="0" applyNumberFormat="1" applyFill="1"/>
    <xf numFmtId="167" fontId="0" fillId="4" borderId="0" xfId="0" applyNumberFormat="1" applyFill="1"/>
    <xf numFmtId="168" fontId="0" fillId="4" borderId="0" xfId="0" applyNumberFormat="1" applyFill="1"/>
    <xf numFmtId="167" fontId="0" fillId="3" borderId="0" xfId="0" applyNumberFormat="1" applyFill="1"/>
    <xf numFmtId="168" fontId="0" fillId="0" borderId="0" xfId="0" applyNumberFormat="1"/>
    <xf numFmtId="4" fontId="0" fillId="5" borderId="0" xfId="0" applyNumberFormat="1" applyFill="1"/>
    <xf numFmtId="4" fontId="0" fillId="0" borderId="0" xfId="0" applyNumberFormat="1"/>
    <xf numFmtId="0" fontId="0" fillId="6" borderId="0" xfId="0" applyFill="1"/>
    <xf numFmtId="0" fontId="0" fillId="2" borderId="0" xfId="0" applyFill="1"/>
    <xf numFmtId="0" fontId="0" fillId="7" borderId="0" xfId="0" applyFill="1"/>
    <xf numFmtId="166" fontId="0" fillId="0" borderId="0" xfId="0" applyNumberFormat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2" fontId="0" fillId="5" borderId="0" xfId="0" applyNumberFormat="1" applyFill="1"/>
    <xf numFmtId="165" fontId="1" fillId="0" borderId="0" xfId="0" applyNumberFormat="1" applyFont="1"/>
    <xf numFmtId="169" fontId="0" fillId="0" borderId="0" xfId="0" applyNumberFormat="1"/>
    <xf numFmtId="0" fontId="0" fillId="0" borderId="0" xfId="0" applyAlignment="1">
      <alignment horizontal="right"/>
    </xf>
    <xf numFmtId="0" fontId="0" fillId="8" borderId="0" xfId="0" applyFill="1"/>
    <xf numFmtId="2" fontId="0" fillId="8" borderId="0" xfId="0" applyNumberFormat="1" applyFill="1"/>
    <xf numFmtId="170" fontId="0" fillId="3" borderId="0" xfId="1" applyNumberFormat="1" applyFont="1" applyFill="1"/>
    <xf numFmtId="2" fontId="0" fillId="9" borderId="0" xfId="0" applyNumberFormat="1" applyFill="1"/>
    <xf numFmtId="2" fontId="0" fillId="10" borderId="0" xfId="0" applyNumberFormat="1" applyFill="1"/>
    <xf numFmtId="0" fontId="0" fillId="11" borderId="0" xfId="0" applyFill="1"/>
    <xf numFmtId="3" fontId="0" fillId="11" borderId="0" xfId="0" applyNumberFormat="1" applyFill="1"/>
    <xf numFmtId="165" fontId="0" fillId="11" borderId="0" xfId="0" applyNumberFormat="1" applyFill="1"/>
    <xf numFmtId="1" fontId="0" fillId="11" borderId="0" xfId="0" applyNumberFormat="1" applyFill="1"/>
    <xf numFmtId="2" fontId="0" fillId="11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'DTDS Spatial Model Scen1'!$AG$1</c:f>
              <c:strCache>
                <c:ptCount val="1"/>
                <c:pt idx="0">
                  <c:v>Proprtn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'DTDS Spatial Model Scen1'!$AF$2:$AF$58</c:f>
              <c:numCache>
                <c:formatCode>General</c:formatCode>
                <c:ptCount val="57"/>
                <c:pt idx="0">
                  <c:v>65</c:v>
                </c:pt>
                <c:pt idx="1">
                  <c:v>195</c:v>
                </c:pt>
                <c:pt idx="2">
                  <c:v>325</c:v>
                </c:pt>
                <c:pt idx="3">
                  <c:v>455</c:v>
                </c:pt>
                <c:pt idx="4">
                  <c:v>585</c:v>
                </c:pt>
                <c:pt idx="5">
                  <c:v>715</c:v>
                </c:pt>
                <c:pt idx="6">
                  <c:v>845</c:v>
                </c:pt>
              </c:numCache>
            </c:numRef>
          </c:xVal>
          <c:yVal>
            <c:numRef>
              <c:f>'DTDS Spatial Model Scen1'!$AG$2:$AG$58</c:f>
              <c:numCache>
                <c:formatCode>0.000</c:formatCode>
                <c:ptCount val="57"/>
                <c:pt idx="0">
                  <c:v>0.14285714285714285</c:v>
                </c:pt>
                <c:pt idx="1">
                  <c:v>0.32142857142857145</c:v>
                </c:pt>
                <c:pt idx="2">
                  <c:v>0.19642857142857142</c:v>
                </c:pt>
                <c:pt idx="3">
                  <c:v>0.16071428571428573</c:v>
                </c:pt>
                <c:pt idx="4">
                  <c:v>3.5714285714285712E-2</c:v>
                </c:pt>
                <c:pt idx="5">
                  <c:v>0.10714285714285714</c:v>
                </c:pt>
                <c:pt idx="6">
                  <c:v>3.5714285714285712E-2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99-465F-B03F-DFD940140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408000"/>
        <c:axId val="1784409664"/>
      </c:scatterChart>
      <c:valAx>
        <c:axId val="178440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409664"/>
        <c:crosses val="autoZero"/>
        <c:crossBetween val="midCat"/>
      </c:valAx>
      <c:valAx>
        <c:axId val="178440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40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'DTDS Spatial Model Scen2'!$AG$1</c:f>
              <c:strCache>
                <c:ptCount val="1"/>
                <c:pt idx="0">
                  <c:v>Proprtn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'DTDS Spatial Model Scen2'!$AF$2:$AF$58</c:f>
              <c:numCache>
                <c:formatCode>General</c:formatCode>
                <c:ptCount val="57"/>
                <c:pt idx="0">
                  <c:v>175</c:v>
                </c:pt>
                <c:pt idx="1">
                  <c:v>525</c:v>
                </c:pt>
                <c:pt idx="2">
                  <c:v>875</c:v>
                </c:pt>
                <c:pt idx="3">
                  <c:v>1225</c:v>
                </c:pt>
                <c:pt idx="4">
                  <c:v>1575</c:v>
                </c:pt>
                <c:pt idx="5">
                  <c:v>1925</c:v>
                </c:pt>
                <c:pt idx="6">
                  <c:v>2275</c:v>
                </c:pt>
                <c:pt idx="7">
                  <c:v>2625</c:v>
                </c:pt>
              </c:numCache>
            </c:numRef>
          </c:xVal>
          <c:yVal>
            <c:numRef>
              <c:f>'DTDS Spatial Model Scen2'!$AG$2:$AG$58</c:f>
              <c:numCache>
                <c:formatCode>0.000</c:formatCode>
                <c:ptCount val="57"/>
                <c:pt idx="0">
                  <c:v>0.25</c:v>
                </c:pt>
                <c:pt idx="1">
                  <c:v>0.10714285714285714</c:v>
                </c:pt>
                <c:pt idx="2">
                  <c:v>0.19642857142857142</c:v>
                </c:pt>
                <c:pt idx="3">
                  <c:v>0.10714285714285714</c:v>
                </c:pt>
                <c:pt idx="4">
                  <c:v>0.125</c:v>
                </c:pt>
                <c:pt idx="5">
                  <c:v>0.16071428571428573</c:v>
                </c:pt>
                <c:pt idx="6">
                  <c:v>5.3571428571428568E-2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D-4930-9A65-0ECA1F9AF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408000"/>
        <c:axId val="1784409664"/>
      </c:scatterChart>
      <c:valAx>
        <c:axId val="178440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409664"/>
        <c:crosses val="autoZero"/>
        <c:crossBetween val="midCat"/>
      </c:valAx>
      <c:valAx>
        <c:axId val="178440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40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'DTDS Spatial Model Scen2'!$T$1</c:f>
              <c:strCache>
                <c:ptCount val="1"/>
                <c:pt idx="0">
                  <c:v>Proprtn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'DTDS Spatial Model Scen2'!$S$2:$S$58</c:f>
              <c:numCache>
                <c:formatCode>General</c:formatCode>
                <c:ptCount val="57"/>
                <c:pt idx="0">
                  <c:v>25</c:v>
                </c:pt>
                <c:pt idx="1">
                  <c:v>75</c:v>
                </c:pt>
                <c:pt idx="2">
                  <c:v>125</c:v>
                </c:pt>
                <c:pt idx="3">
                  <c:v>175</c:v>
                </c:pt>
                <c:pt idx="4">
                  <c:v>225</c:v>
                </c:pt>
                <c:pt idx="5">
                  <c:v>275</c:v>
                </c:pt>
                <c:pt idx="6">
                  <c:v>325</c:v>
                </c:pt>
                <c:pt idx="7">
                  <c:v>375</c:v>
                </c:pt>
                <c:pt idx="8">
                  <c:v>425</c:v>
                </c:pt>
                <c:pt idx="9">
                  <c:v>475</c:v>
                </c:pt>
                <c:pt idx="10">
                  <c:v>525</c:v>
                </c:pt>
                <c:pt idx="11">
                  <c:v>575</c:v>
                </c:pt>
                <c:pt idx="12">
                  <c:v>625</c:v>
                </c:pt>
                <c:pt idx="13">
                  <c:v>675</c:v>
                </c:pt>
                <c:pt idx="14">
                  <c:v>725</c:v>
                </c:pt>
                <c:pt idx="15">
                  <c:v>775</c:v>
                </c:pt>
                <c:pt idx="16">
                  <c:v>825</c:v>
                </c:pt>
                <c:pt idx="17">
                  <c:v>875</c:v>
                </c:pt>
                <c:pt idx="18">
                  <c:v>925</c:v>
                </c:pt>
                <c:pt idx="19">
                  <c:v>975</c:v>
                </c:pt>
                <c:pt idx="20">
                  <c:v>1025</c:v>
                </c:pt>
                <c:pt idx="21">
                  <c:v>1075</c:v>
                </c:pt>
                <c:pt idx="22">
                  <c:v>1125</c:v>
                </c:pt>
                <c:pt idx="23">
                  <c:v>1175</c:v>
                </c:pt>
                <c:pt idx="24">
                  <c:v>1225</c:v>
                </c:pt>
                <c:pt idx="25">
                  <c:v>1275</c:v>
                </c:pt>
                <c:pt idx="26">
                  <c:v>1325</c:v>
                </c:pt>
                <c:pt idx="27">
                  <c:v>1375</c:v>
                </c:pt>
                <c:pt idx="28">
                  <c:v>1425</c:v>
                </c:pt>
                <c:pt idx="29">
                  <c:v>1475</c:v>
                </c:pt>
                <c:pt idx="30">
                  <c:v>1525</c:v>
                </c:pt>
                <c:pt idx="31">
                  <c:v>1575</c:v>
                </c:pt>
                <c:pt idx="32">
                  <c:v>1625</c:v>
                </c:pt>
                <c:pt idx="33">
                  <c:v>1675</c:v>
                </c:pt>
                <c:pt idx="34">
                  <c:v>1725</c:v>
                </c:pt>
                <c:pt idx="35">
                  <c:v>1775</c:v>
                </c:pt>
                <c:pt idx="36">
                  <c:v>1825</c:v>
                </c:pt>
                <c:pt idx="37">
                  <c:v>1875</c:v>
                </c:pt>
                <c:pt idx="38">
                  <c:v>1925</c:v>
                </c:pt>
                <c:pt idx="39">
                  <c:v>1975</c:v>
                </c:pt>
                <c:pt idx="40">
                  <c:v>2025</c:v>
                </c:pt>
                <c:pt idx="41">
                  <c:v>2075</c:v>
                </c:pt>
                <c:pt idx="42">
                  <c:v>2125</c:v>
                </c:pt>
                <c:pt idx="43">
                  <c:v>2175</c:v>
                </c:pt>
                <c:pt idx="44">
                  <c:v>2225</c:v>
                </c:pt>
                <c:pt idx="45">
                  <c:v>2275</c:v>
                </c:pt>
                <c:pt idx="46">
                  <c:v>2325</c:v>
                </c:pt>
                <c:pt idx="47">
                  <c:v>2375</c:v>
                </c:pt>
              </c:numCache>
            </c:numRef>
          </c:xVal>
          <c:yVal>
            <c:numRef>
              <c:f>'DTDS Spatial Model Scen2'!$T$2:$T$58</c:f>
              <c:numCache>
                <c:formatCode>0.000</c:formatCode>
                <c:ptCount val="57"/>
                <c:pt idx="0">
                  <c:v>0</c:v>
                </c:pt>
                <c:pt idx="1">
                  <c:v>7.1428571428571425E-2</c:v>
                </c:pt>
                <c:pt idx="2">
                  <c:v>5.3571428571428568E-2</c:v>
                </c:pt>
                <c:pt idx="3">
                  <c:v>0</c:v>
                </c:pt>
                <c:pt idx="4">
                  <c:v>3.5714285714285712E-2</c:v>
                </c:pt>
                <c:pt idx="5">
                  <c:v>1.7857142857142856E-2</c:v>
                </c:pt>
                <c:pt idx="6">
                  <c:v>7.1428571428571425E-2</c:v>
                </c:pt>
                <c:pt idx="7">
                  <c:v>3.5714285714285712E-2</c:v>
                </c:pt>
                <c:pt idx="8">
                  <c:v>1.7857142857142856E-2</c:v>
                </c:pt>
                <c:pt idx="9">
                  <c:v>0</c:v>
                </c:pt>
                <c:pt idx="10">
                  <c:v>1.7857142857142856E-2</c:v>
                </c:pt>
                <c:pt idx="11">
                  <c:v>1.7857142857142856E-2</c:v>
                </c:pt>
                <c:pt idx="12">
                  <c:v>0</c:v>
                </c:pt>
                <c:pt idx="13">
                  <c:v>1.7857142857142856E-2</c:v>
                </c:pt>
                <c:pt idx="14">
                  <c:v>0</c:v>
                </c:pt>
                <c:pt idx="15">
                  <c:v>7.1428571428571425E-2</c:v>
                </c:pt>
                <c:pt idx="16">
                  <c:v>7.1428571428571425E-2</c:v>
                </c:pt>
                <c:pt idx="17">
                  <c:v>0</c:v>
                </c:pt>
                <c:pt idx="18">
                  <c:v>1.7857142857142856E-2</c:v>
                </c:pt>
                <c:pt idx="19">
                  <c:v>1.7857142857142856E-2</c:v>
                </c:pt>
                <c:pt idx="20">
                  <c:v>1.7857142857142856E-2</c:v>
                </c:pt>
                <c:pt idx="21">
                  <c:v>1.7857142857142856E-2</c:v>
                </c:pt>
                <c:pt idx="22">
                  <c:v>5.3571428571428568E-2</c:v>
                </c:pt>
                <c:pt idx="23">
                  <c:v>1.7857142857142856E-2</c:v>
                </c:pt>
                <c:pt idx="24">
                  <c:v>0</c:v>
                </c:pt>
                <c:pt idx="25">
                  <c:v>0</c:v>
                </c:pt>
                <c:pt idx="26">
                  <c:v>1.7857142857142856E-2</c:v>
                </c:pt>
                <c:pt idx="27">
                  <c:v>0</c:v>
                </c:pt>
                <c:pt idx="28">
                  <c:v>1.7857142857142856E-2</c:v>
                </c:pt>
                <c:pt idx="29">
                  <c:v>1.7857142857142856E-2</c:v>
                </c:pt>
                <c:pt idx="30">
                  <c:v>1.7857142857142856E-2</c:v>
                </c:pt>
                <c:pt idx="31">
                  <c:v>3.5714285714285712E-2</c:v>
                </c:pt>
                <c:pt idx="32">
                  <c:v>1.7857142857142856E-2</c:v>
                </c:pt>
                <c:pt idx="33">
                  <c:v>0</c:v>
                </c:pt>
                <c:pt idx="34">
                  <c:v>1.7857142857142856E-2</c:v>
                </c:pt>
                <c:pt idx="35">
                  <c:v>0</c:v>
                </c:pt>
                <c:pt idx="36">
                  <c:v>1.7857142857142856E-2</c:v>
                </c:pt>
                <c:pt idx="37">
                  <c:v>1.7857142857142856E-2</c:v>
                </c:pt>
                <c:pt idx="38">
                  <c:v>5.3571428571428568E-2</c:v>
                </c:pt>
                <c:pt idx="39">
                  <c:v>1.7857142857142856E-2</c:v>
                </c:pt>
                <c:pt idx="40">
                  <c:v>3.5714285714285712E-2</c:v>
                </c:pt>
                <c:pt idx="41">
                  <c:v>1.7857142857142856E-2</c:v>
                </c:pt>
                <c:pt idx="42">
                  <c:v>0</c:v>
                </c:pt>
                <c:pt idx="43">
                  <c:v>0</c:v>
                </c:pt>
                <c:pt idx="44">
                  <c:v>1.7857142857142856E-2</c:v>
                </c:pt>
                <c:pt idx="45">
                  <c:v>0</c:v>
                </c:pt>
                <c:pt idx="46">
                  <c:v>0</c:v>
                </c:pt>
                <c:pt idx="47">
                  <c:v>3.5714285714285712E-2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C5-4321-B440-82032EF5D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893872"/>
        <c:axId val="877898864"/>
      </c:scatterChart>
      <c:valAx>
        <c:axId val="87789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98864"/>
        <c:crosses val="autoZero"/>
        <c:crossBetween val="midCat"/>
      </c:valAx>
      <c:valAx>
        <c:axId val="87789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9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114300</xdr:colOff>
      <xdr:row>24</xdr:row>
      <xdr:rowOff>128587</xdr:rowOff>
    </xdr:from>
    <xdr:to>
      <xdr:col>29</xdr:col>
      <xdr:colOff>447675</xdr:colOff>
      <xdr:row>41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7EFB52-4369-4749-8F1E-848056ABA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295275</xdr:colOff>
      <xdr:row>25</xdr:row>
      <xdr:rowOff>14287</xdr:rowOff>
    </xdr:from>
    <xdr:to>
      <xdr:col>34</xdr:col>
      <xdr:colOff>295275</xdr:colOff>
      <xdr:row>42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A454F-3F71-4E87-A40A-C9BC093DE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528637</xdr:colOff>
      <xdr:row>25</xdr:row>
      <xdr:rowOff>71437</xdr:rowOff>
    </xdr:from>
    <xdr:to>
      <xdr:col>23</xdr:col>
      <xdr:colOff>500062</xdr:colOff>
      <xdr:row>42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83F34D-B1F8-4CD1-88F8-A414E34874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D009-F729-435D-9E12-8DFAF4FF340C}">
  <dimension ref="A1:K89"/>
  <sheetViews>
    <sheetView topLeftCell="A55" zoomScaleNormal="100" workbookViewId="0">
      <selection activeCell="B64" sqref="B64"/>
    </sheetView>
  </sheetViews>
  <sheetFormatPr defaultRowHeight="12.75" x14ac:dyDescent="0.2"/>
  <cols>
    <col min="1" max="1" width="32.7109375" bestFit="1" customWidth="1"/>
    <col min="2" max="2" width="8.42578125" bestFit="1" customWidth="1"/>
    <col min="3" max="3" width="7.5703125" bestFit="1" customWidth="1"/>
    <col min="4" max="4" width="5.5703125" bestFit="1" customWidth="1"/>
    <col min="5" max="5" width="7.28515625" bestFit="1" customWidth="1"/>
    <col min="6" max="6" width="6.5703125" bestFit="1" customWidth="1"/>
    <col min="7" max="7" width="8.28515625" bestFit="1" customWidth="1"/>
    <col min="8" max="8" width="6" bestFit="1" customWidth="1"/>
    <col min="9" max="9" width="15.5703125" style="2" bestFit="1" customWidth="1"/>
    <col min="10" max="10" width="11.5703125" style="2" bestFit="1" customWidth="1"/>
    <col min="11" max="11" width="9.140625" style="2"/>
  </cols>
  <sheetData>
    <row r="1" spans="1:9" x14ac:dyDescent="0.2">
      <c r="A1" s="1" t="s">
        <v>0</v>
      </c>
      <c r="I1" s="1" t="s">
        <v>101</v>
      </c>
    </row>
    <row r="2" spans="1:9" x14ac:dyDescent="0.2">
      <c r="I2" s="34" t="s">
        <v>102</v>
      </c>
    </row>
    <row r="3" spans="1:9" x14ac:dyDescent="0.2">
      <c r="A3" s="1" t="s">
        <v>1</v>
      </c>
      <c r="I3" s="35" t="s">
        <v>103</v>
      </c>
    </row>
    <row r="4" spans="1:9" x14ac:dyDescent="0.2">
      <c r="E4" t="s">
        <v>2</v>
      </c>
      <c r="F4" t="s">
        <v>3</v>
      </c>
      <c r="G4" t="s">
        <v>4</v>
      </c>
      <c r="I4" s="3" t="s">
        <v>104</v>
      </c>
    </row>
    <row r="5" spans="1:9" x14ac:dyDescent="0.2">
      <c r="A5" t="s">
        <v>5</v>
      </c>
      <c r="B5" s="3">
        <f ca="1">_xll.RiskUniform(E5,F5)</f>
        <v>47231.643500080245</v>
      </c>
      <c r="C5" t="s">
        <v>6</v>
      </c>
      <c r="E5" s="5">
        <f>0.9*G5</f>
        <v>40500</v>
      </c>
      <c r="F5" s="5">
        <f>1.1*G5</f>
        <v>49500.000000000007</v>
      </c>
      <c r="G5" s="5">
        <v>45000</v>
      </c>
      <c r="I5" s="36" t="s">
        <v>105</v>
      </c>
    </row>
    <row r="6" spans="1:9" x14ac:dyDescent="0.2">
      <c r="A6" t="s">
        <v>7</v>
      </c>
      <c r="B6" s="6">
        <v>0.8</v>
      </c>
      <c r="C6" t="s">
        <v>8</v>
      </c>
      <c r="I6" s="41" t="s">
        <v>106</v>
      </c>
    </row>
    <row r="7" spans="1:9" x14ac:dyDescent="0.2">
      <c r="B7" s="7"/>
      <c r="F7" s="4"/>
      <c r="I7"/>
    </row>
    <row r="8" spans="1:9" x14ac:dyDescent="0.2">
      <c r="A8" t="s">
        <v>9</v>
      </c>
      <c r="B8" s="8">
        <f>3/60</f>
        <v>0.05</v>
      </c>
      <c r="C8" t="s">
        <v>10</v>
      </c>
    </row>
    <row r="10" spans="1:9" x14ac:dyDescent="0.2">
      <c r="A10" s="1" t="s">
        <v>108</v>
      </c>
    </row>
    <row r="11" spans="1:9" x14ac:dyDescent="0.2">
      <c r="A11" s="1"/>
    </row>
    <row r="12" spans="1:9" x14ac:dyDescent="0.2">
      <c r="A12" t="s">
        <v>11</v>
      </c>
    </row>
    <row r="13" spans="1:9" x14ac:dyDescent="0.2">
      <c r="A13" t="s">
        <v>12</v>
      </c>
      <c r="B13" s="6">
        <v>1.6</v>
      </c>
      <c r="C13" t="s">
        <v>8</v>
      </c>
    </row>
    <row r="14" spans="1:9" x14ac:dyDescent="0.2">
      <c r="A14" t="s">
        <v>13</v>
      </c>
      <c r="B14" s="9">
        <f>B13^2</f>
        <v>2.5600000000000005</v>
      </c>
      <c r="C14" t="s">
        <v>14</v>
      </c>
    </row>
    <row r="15" spans="1:9" x14ac:dyDescent="0.2">
      <c r="A15" t="s">
        <v>15</v>
      </c>
      <c r="B15" s="6">
        <v>0.8</v>
      </c>
      <c r="C15" t="s">
        <v>8</v>
      </c>
    </row>
    <row r="16" spans="1:9" x14ac:dyDescent="0.2">
      <c r="A16" t="s">
        <v>16</v>
      </c>
      <c r="B16" s="9">
        <f>(B13+B15+B15)^2</f>
        <v>10.240000000000002</v>
      </c>
      <c r="C16" t="s">
        <v>14</v>
      </c>
    </row>
    <row r="17" spans="1:4" x14ac:dyDescent="0.2">
      <c r="A17" t="s">
        <v>17</v>
      </c>
      <c r="B17" s="9">
        <f>B16-B14</f>
        <v>7.6800000000000015</v>
      </c>
      <c r="C17" t="s">
        <v>14</v>
      </c>
    </row>
    <row r="19" spans="1:4" x14ac:dyDescent="0.2">
      <c r="A19" t="s">
        <v>18</v>
      </c>
      <c r="B19" s="10">
        <f ca="1">ROUND(B17*B5,0)</f>
        <v>362739</v>
      </c>
      <c r="C19" t="s">
        <v>19</v>
      </c>
    </row>
    <row r="20" spans="1:4" x14ac:dyDescent="0.2">
      <c r="A20" s="1"/>
    </row>
    <row r="21" spans="1:4" x14ac:dyDescent="0.2">
      <c r="A21" t="s">
        <v>20</v>
      </c>
      <c r="B21" s="6">
        <v>1E-3</v>
      </c>
      <c r="C21" t="s">
        <v>21</v>
      </c>
    </row>
    <row r="22" spans="1:4" x14ac:dyDescent="0.2">
      <c r="A22" t="s">
        <v>22</v>
      </c>
      <c r="B22" s="11">
        <f ca="1">B5*B21</f>
        <v>47.231643500080246</v>
      </c>
      <c r="C22" t="s">
        <v>6</v>
      </c>
    </row>
    <row r="23" spans="1:4" x14ac:dyDescent="0.2">
      <c r="A23" t="s">
        <v>23</v>
      </c>
      <c r="B23" s="6">
        <v>3723</v>
      </c>
    </row>
    <row r="24" spans="1:4" x14ac:dyDescent="0.2">
      <c r="A24" t="s">
        <v>24</v>
      </c>
      <c r="B24" s="11">
        <f ca="1">B23/B5</f>
        <v>7.8824273815364373E-2</v>
      </c>
      <c r="C24" t="s">
        <v>14</v>
      </c>
    </row>
    <row r="26" spans="1:4" x14ac:dyDescent="0.2">
      <c r="A26" t="s">
        <v>25</v>
      </c>
      <c r="B26" s="6">
        <v>0</v>
      </c>
      <c r="C26" t="s">
        <v>11</v>
      </c>
    </row>
    <row r="27" spans="1:4" x14ac:dyDescent="0.2">
      <c r="A27" t="s">
        <v>26</v>
      </c>
      <c r="B27" s="12">
        <f ca="1">_xll.RiskBinomial(B23,B26)</f>
        <v>0</v>
      </c>
    </row>
    <row r="29" spans="1:4" x14ac:dyDescent="0.2">
      <c r="A29" t="s">
        <v>27</v>
      </c>
    </row>
    <row r="30" spans="1:4" x14ac:dyDescent="0.2">
      <c r="A30" t="s">
        <v>12</v>
      </c>
      <c r="B30" s="6">
        <v>0.8</v>
      </c>
      <c r="C30" t="s">
        <v>8</v>
      </c>
    </row>
    <row r="31" spans="1:4" x14ac:dyDescent="0.2">
      <c r="A31" t="s">
        <v>13</v>
      </c>
      <c r="B31" s="9">
        <f>B30^2</f>
        <v>0.64000000000000012</v>
      </c>
      <c r="C31" t="s">
        <v>14</v>
      </c>
    </row>
    <row r="32" spans="1:4" x14ac:dyDescent="0.2">
      <c r="A32" t="s">
        <v>15</v>
      </c>
      <c r="B32" s="6">
        <v>0.8</v>
      </c>
      <c r="C32" t="s">
        <v>8</v>
      </c>
      <c r="D32" s="2"/>
    </row>
    <row r="33" spans="1:5" x14ac:dyDescent="0.2">
      <c r="A33" t="s">
        <v>16</v>
      </c>
      <c r="B33" s="9">
        <f>(B30+B32+B32)^2</f>
        <v>5.7600000000000016</v>
      </c>
      <c r="C33" t="s">
        <v>14</v>
      </c>
      <c r="D33" s="7"/>
    </row>
    <row r="34" spans="1:5" x14ac:dyDescent="0.2">
      <c r="A34" t="s">
        <v>17</v>
      </c>
      <c r="B34" s="9">
        <f>B33-B31</f>
        <v>5.120000000000001</v>
      </c>
      <c r="C34" t="s">
        <v>14</v>
      </c>
    </row>
    <row r="35" spans="1:5" x14ac:dyDescent="0.2">
      <c r="C35" s="13"/>
      <c r="D35" s="13"/>
      <c r="E35" s="13"/>
    </row>
    <row r="36" spans="1:5" x14ac:dyDescent="0.2">
      <c r="A36" t="s">
        <v>18</v>
      </c>
      <c r="B36" s="10">
        <f ca="1">ROUND(B34*B5,0)</f>
        <v>241826</v>
      </c>
      <c r="C36" t="s">
        <v>19</v>
      </c>
    </row>
    <row r="37" spans="1:5" x14ac:dyDescent="0.2">
      <c r="A37" s="1"/>
    </row>
    <row r="38" spans="1:5" x14ac:dyDescent="0.2">
      <c r="A38" t="s">
        <v>20</v>
      </c>
      <c r="B38" s="6">
        <v>1E-3</v>
      </c>
      <c r="C38" t="s">
        <v>21</v>
      </c>
    </row>
    <row r="39" spans="1:5" x14ac:dyDescent="0.2">
      <c r="A39" t="s">
        <v>22</v>
      </c>
      <c r="B39" s="11">
        <f>B26*B38</f>
        <v>0</v>
      </c>
      <c r="C39" t="s">
        <v>6</v>
      </c>
    </row>
    <row r="40" spans="1:5" x14ac:dyDescent="0.2">
      <c r="A40" t="s">
        <v>23</v>
      </c>
      <c r="B40" s="6">
        <v>3726</v>
      </c>
    </row>
    <row r="41" spans="1:5" x14ac:dyDescent="0.2">
      <c r="A41" t="s">
        <v>24</v>
      </c>
      <c r="B41" s="11">
        <f ca="1">B40/B5</f>
        <v>7.888779055494162E-2</v>
      </c>
      <c r="C41" t="s">
        <v>14</v>
      </c>
    </row>
    <row r="43" spans="1:5" x14ac:dyDescent="0.2">
      <c r="A43" t="s">
        <v>25</v>
      </c>
      <c r="B43" s="6">
        <v>0</v>
      </c>
      <c r="C43" t="s">
        <v>27</v>
      </c>
    </row>
    <row r="44" spans="1:5" x14ac:dyDescent="0.2">
      <c r="A44" t="s">
        <v>26</v>
      </c>
      <c r="B44" s="12">
        <f ca="1">_xll.RiskBinomial(B40,B43)</f>
        <v>0</v>
      </c>
    </row>
    <row r="46" spans="1:5" x14ac:dyDescent="0.2">
      <c r="A46" t="s">
        <v>28</v>
      </c>
    </row>
    <row r="47" spans="1:5" x14ac:dyDescent="0.2">
      <c r="A47" t="s">
        <v>12</v>
      </c>
      <c r="B47" s="6">
        <v>0.8</v>
      </c>
      <c r="C47" t="s">
        <v>8</v>
      </c>
    </row>
    <row r="48" spans="1:5" x14ac:dyDescent="0.2">
      <c r="A48" t="s">
        <v>13</v>
      </c>
      <c r="B48" s="9">
        <f>B47^2</f>
        <v>0.64000000000000012</v>
      </c>
      <c r="C48" t="s">
        <v>14</v>
      </c>
    </row>
    <row r="49" spans="1:5" x14ac:dyDescent="0.2">
      <c r="C49" s="13"/>
      <c r="D49" s="13"/>
      <c r="E49" s="13"/>
    </row>
    <row r="50" spans="1:5" x14ac:dyDescent="0.2">
      <c r="A50" t="s">
        <v>29</v>
      </c>
      <c r="B50" s="10">
        <f ca="1">ROUND(B48*B5,0)</f>
        <v>30228</v>
      </c>
      <c r="C50" t="s">
        <v>19</v>
      </c>
    </row>
    <row r="51" spans="1:5" x14ac:dyDescent="0.2">
      <c r="A51" s="1"/>
    </row>
    <row r="52" spans="1:5" x14ac:dyDescent="0.2">
      <c r="A52" t="s">
        <v>20</v>
      </c>
      <c r="B52" s="6">
        <v>1E-3</v>
      </c>
      <c r="C52" t="s">
        <v>21</v>
      </c>
    </row>
    <row r="53" spans="1:5" x14ac:dyDescent="0.2">
      <c r="A53" t="s">
        <v>22</v>
      </c>
      <c r="B53" s="11">
        <f>B43*B52</f>
        <v>0</v>
      </c>
      <c r="C53" t="s">
        <v>6</v>
      </c>
    </row>
    <row r="54" spans="1:5" x14ac:dyDescent="0.2">
      <c r="A54" t="s">
        <v>23</v>
      </c>
      <c r="B54" s="6">
        <v>3532</v>
      </c>
    </row>
    <row r="55" spans="1:5" x14ac:dyDescent="0.2">
      <c r="A55" t="s">
        <v>24</v>
      </c>
      <c r="B55" s="11">
        <f ca="1">B54/B5</f>
        <v>7.4780374728946261E-2</v>
      </c>
      <c r="C55" t="s">
        <v>14</v>
      </c>
    </row>
    <row r="57" spans="1:5" x14ac:dyDescent="0.2">
      <c r="A57" t="s">
        <v>25</v>
      </c>
      <c r="B57" s="6">
        <v>1E-3</v>
      </c>
      <c r="C57" t="s">
        <v>11</v>
      </c>
    </row>
    <row r="58" spans="1:5" x14ac:dyDescent="0.2">
      <c r="A58" t="s">
        <v>26</v>
      </c>
      <c r="B58" s="39">
        <f ca="1">_xll.RiskOutput()+_xll.RiskBinomial(B54,B57)</f>
        <v>5</v>
      </c>
    </row>
    <row r="59" spans="1:5" x14ac:dyDescent="0.2">
      <c r="A59" t="s">
        <v>30</v>
      </c>
      <c r="B59" s="40">
        <f ca="1">_xll.RiskOutput()+IF(B58=0,0,1)</f>
        <v>1</v>
      </c>
      <c r="C59" s="2"/>
      <c r="D59" s="2"/>
      <c r="E59" s="2"/>
    </row>
    <row r="60" spans="1:5" x14ac:dyDescent="0.2">
      <c r="A60" t="s">
        <v>31</v>
      </c>
      <c r="B60" s="10">
        <f>B54+B40+B23</f>
        <v>10981</v>
      </c>
      <c r="C60" s="2"/>
      <c r="D60" s="2"/>
      <c r="E60" s="2"/>
    </row>
    <row r="61" spans="1:5" x14ac:dyDescent="0.2">
      <c r="A61" t="s">
        <v>32</v>
      </c>
      <c r="B61" s="14">
        <f ca="1">B55+B41+B24</f>
        <v>0.23249243909925227</v>
      </c>
      <c r="C61" s="2"/>
      <c r="D61" s="2"/>
      <c r="E61" s="2"/>
    </row>
    <row r="63" spans="1:5" x14ac:dyDescent="0.2">
      <c r="A63" t="s">
        <v>33</v>
      </c>
      <c r="B63" s="39">
        <f>_xll.RiskOutput()+B8*B60</f>
        <v>549.05000000000007</v>
      </c>
      <c r="C63" t="s">
        <v>10</v>
      </c>
    </row>
    <row r="65" spans="1:5" x14ac:dyDescent="0.2">
      <c r="A65" s="1" t="s">
        <v>107</v>
      </c>
    </row>
    <row r="66" spans="1:5" x14ac:dyDescent="0.2">
      <c r="A66" s="1"/>
    </row>
    <row r="67" spans="1:5" x14ac:dyDescent="0.2">
      <c r="A67" t="s">
        <v>34</v>
      </c>
      <c r="B67" s="6">
        <v>1.2</v>
      </c>
      <c r="C67" t="s">
        <v>8</v>
      </c>
    </row>
    <row r="68" spans="1:5" x14ac:dyDescent="0.2">
      <c r="A68" t="s">
        <v>35</v>
      </c>
      <c r="B68" s="6">
        <v>2</v>
      </c>
      <c r="C68" t="s">
        <v>19</v>
      </c>
    </row>
    <row r="69" spans="1:5" x14ac:dyDescent="0.2">
      <c r="A69" t="s">
        <v>36</v>
      </c>
      <c r="B69" s="9">
        <f>(2*B67)*B68</f>
        <v>4.8</v>
      </c>
      <c r="C69" t="s">
        <v>8</v>
      </c>
    </row>
    <row r="71" spans="1:5" x14ac:dyDescent="0.2">
      <c r="A71" t="s">
        <v>37</v>
      </c>
      <c r="B71" s="6">
        <v>1E-3</v>
      </c>
      <c r="C71" t="s">
        <v>38</v>
      </c>
    </row>
    <row r="72" spans="1:5" x14ac:dyDescent="0.2">
      <c r="A72" t="s">
        <v>39</v>
      </c>
      <c r="B72" s="11">
        <f>B71*G5</f>
        <v>45</v>
      </c>
      <c r="C72" t="s">
        <v>6</v>
      </c>
    </row>
    <row r="74" spans="1:5" x14ac:dyDescent="0.2">
      <c r="A74" t="s">
        <v>40</v>
      </c>
      <c r="B74" s="6">
        <v>60</v>
      </c>
    </row>
    <row r="75" spans="1:5" x14ac:dyDescent="0.2">
      <c r="A75" t="s">
        <v>41</v>
      </c>
      <c r="B75" s="15">
        <f>B74/B72</f>
        <v>1.3333333333333333</v>
      </c>
      <c r="C75" t="s">
        <v>14</v>
      </c>
    </row>
    <row r="76" spans="1:5" x14ac:dyDescent="0.2">
      <c r="A76" t="s">
        <v>42</v>
      </c>
      <c r="B76" s="15">
        <f>B75/B69</f>
        <v>0.27777777777777779</v>
      </c>
      <c r="C76" t="s">
        <v>8</v>
      </c>
      <c r="D76" s="16">
        <f>B76*1000</f>
        <v>277.77777777777777</v>
      </c>
      <c r="E76" t="s">
        <v>43</v>
      </c>
    </row>
    <row r="78" spans="1:5" x14ac:dyDescent="0.2">
      <c r="A78" t="s">
        <v>44</v>
      </c>
      <c r="B78" s="6">
        <v>110</v>
      </c>
      <c r="C78" t="s">
        <v>19</v>
      </c>
    </row>
    <row r="79" spans="1:5" x14ac:dyDescent="0.2">
      <c r="A79" t="s">
        <v>45</v>
      </c>
      <c r="B79" s="9">
        <f>B78*(B67*2)</f>
        <v>264</v>
      </c>
      <c r="C79" t="s">
        <v>8</v>
      </c>
    </row>
    <row r="80" spans="1:5" x14ac:dyDescent="0.2">
      <c r="A80" t="s">
        <v>46</v>
      </c>
      <c r="B80" s="17">
        <f>B75/B79</f>
        <v>5.0505050505050501E-3</v>
      </c>
      <c r="C80" t="s">
        <v>8</v>
      </c>
      <c r="D80" s="16">
        <f>B80*1000</f>
        <v>5.0505050505050502</v>
      </c>
      <c r="E80" t="s">
        <v>43</v>
      </c>
    </row>
    <row r="81" spans="1:7" x14ac:dyDescent="0.2">
      <c r="A81" t="s">
        <v>47</v>
      </c>
      <c r="B81" s="17">
        <f>B78*B80</f>
        <v>0.55555555555555547</v>
      </c>
      <c r="C81" t="s">
        <v>8</v>
      </c>
      <c r="D81" s="18">
        <f>B81/(B68*B67)</f>
        <v>0.23148148148148145</v>
      </c>
    </row>
    <row r="83" spans="1:7" x14ac:dyDescent="0.2">
      <c r="A83" t="s">
        <v>48</v>
      </c>
      <c r="B83" s="15">
        <f>B80*B78*(B67*2)</f>
        <v>1.333333333333333</v>
      </c>
      <c r="C83" t="s">
        <v>14</v>
      </c>
    </row>
    <row r="84" spans="1:7" x14ac:dyDescent="0.2">
      <c r="A84" t="s">
        <v>49</v>
      </c>
      <c r="B84" s="16">
        <f>(B67*B68)*F84</f>
        <v>510.63829787234039</v>
      </c>
      <c r="D84" s="19">
        <f>1/4.7</f>
        <v>0.21276595744680851</v>
      </c>
      <c r="E84" s="20" t="s">
        <v>50</v>
      </c>
      <c r="F84" s="19">
        <f>1000*D84</f>
        <v>212.7659574468085</v>
      </c>
      <c r="G84" t="s">
        <v>51</v>
      </c>
    </row>
    <row r="85" spans="1:7" x14ac:dyDescent="0.2">
      <c r="A85" t="s">
        <v>52</v>
      </c>
      <c r="B85" s="10">
        <f>ROUND(B78*B84,0)</f>
        <v>56170</v>
      </c>
    </row>
    <row r="86" spans="1:7" x14ac:dyDescent="0.2">
      <c r="A86" t="s">
        <v>53</v>
      </c>
      <c r="B86" s="38">
        <f ca="1">_xll.RiskOutput()+_xll.RiskBinomial(B85,B71)</f>
        <v>58</v>
      </c>
      <c r="C86" s="7"/>
      <c r="D86" s="7"/>
      <c r="E86" s="7"/>
    </row>
    <row r="87" spans="1:7" x14ac:dyDescent="0.2">
      <c r="A87" t="s">
        <v>30</v>
      </c>
      <c r="B87" s="37">
        <f ca="1">_xll.RiskOutput()+IF(B86=0,0,1)</f>
        <v>1</v>
      </c>
    </row>
    <row r="89" spans="1:7" x14ac:dyDescent="0.2">
      <c r="A89" t="s">
        <v>54</v>
      </c>
      <c r="B89" s="37">
        <f>_xll.RiskOutput()+B85*B8</f>
        <v>2808.5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3929-81ED-4368-BDAA-6BFE053F5377}">
  <dimension ref="A1:K49"/>
  <sheetViews>
    <sheetView tabSelected="1" zoomScaleNormal="100" workbookViewId="0">
      <selection activeCell="I20" sqref="I20"/>
    </sheetView>
  </sheetViews>
  <sheetFormatPr defaultRowHeight="12.75" x14ac:dyDescent="0.2"/>
  <cols>
    <col min="1" max="1" width="32.7109375" bestFit="1" customWidth="1"/>
    <col min="2" max="2" width="17.5703125" bestFit="1" customWidth="1"/>
    <col min="3" max="3" width="7.5703125" bestFit="1" customWidth="1"/>
    <col min="4" max="4" width="13.7109375" bestFit="1" customWidth="1"/>
    <col min="5" max="5" width="9.85546875" bestFit="1" customWidth="1"/>
    <col min="6" max="6" width="6.5703125" bestFit="1" customWidth="1"/>
    <col min="7" max="7" width="8.28515625" bestFit="1" customWidth="1"/>
    <col min="8" max="8" width="6" bestFit="1" customWidth="1"/>
    <col min="9" max="9" width="15.5703125" style="2" bestFit="1" customWidth="1"/>
    <col min="10" max="10" width="11.5703125" style="2" bestFit="1" customWidth="1"/>
    <col min="11" max="11" width="9.140625" style="2"/>
  </cols>
  <sheetData>
    <row r="1" spans="1:11" x14ac:dyDescent="0.2">
      <c r="A1" s="1" t="s">
        <v>55</v>
      </c>
      <c r="I1" s="1" t="s">
        <v>101</v>
      </c>
    </row>
    <row r="2" spans="1:11" x14ac:dyDescent="0.2">
      <c r="I2" s="34" t="s">
        <v>102</v>
      </c>
    </row>
    <row r="3" spans="1:11" x14ac:dyDescent="0.2">
      <c r="A3" s="1" t="s">
        <v>1</v>
      </c>
      <c r="I3" s="35" t="s">
        <v>103</v>
      </c>
    </row>
    <row r="4" spans="1:11" x14ac:dyDescent="0.2">
      <c r="E4" t="s">
        <v>2</v>
      </c>
      <c r="F4" t="s">
        <v>3</v>
      </c>
      <c r="G4" t="s">
        <v>4</v>
      </c>
      <c r="I4" s="3" t="s">
        <v>104</v>
      </c>
    </row>
    <row r="5" spans="1:11" x14ac:dyDescent="0.2">
      <c r="A5" t="s">
        <v>5</v>
      </c>
      <c r="B5" s="3">
        <f ca="1">_xll.RiskUniform(E5,F5)</f>
        <v>48347.000078510471</v>
      </c>
      <c r="C5" t="s">
        <v>6</v>
      </c>
      <c r="E5" s="5">
        <f>0.9*G5</f>
        <v>40500</v>
      </c>
      <c r="F5" s="5">
        <f>1.1*G5</f>
        <v>49500.000000000007</v>
      </c>
      <c r="G5" s="5">
        <v>45000</v>
      </c>
      <c r="I5" s="36" t="s">
        <v>105</v>
      </c>
    </row>
    <row r="6" spans="1:11" x14ac:dyDescent="0.2">
      <c r="A6" t="s">
        <v>7</v>
      </c>
      <c r="B6" s="6">
        <v>3.2</v>
      </c>
      <c r="C6" t="s">
        <v>8</v>
      </c>
      <c r="I6" s="41" t="s">
        <v>106</v>
      </c>
    </row>
    <row r="7" spans="1:11" x14ac:dyDescent="0.2">
      <c r="B7" s="7"/>
      <c r="F7" s="4"/>
    </row>
    <row r="8" spans="1:11" x14ac:dyDescent="0.2">
      <c r="A8" t="s">
        <v>9</v>
      </c>
      <c r="B8" s="8">
        <f>3/60</f>
        <v>0.05</v>
      </c>
      <c r="C8" t="s">
        <v>10</v>
      </c>
    </row>
    <row r="9" spans="1:11" x14ac:dyDescent="0.2">
      <c r="A9" s="1"/>
    </row>
    <row r="10" spans="1:11" x14ac:dyDescent="0.2">
      <c r="A10" s="1" t="s">
        <v>56</v>
      </c>
      <c r="C10" t="s">
        <v>23</v>
      </c>
      <c r="D10" t="s">
        <v>57</v>
      </c>
      <c r="E10" t="s">
        <v>30</v>
      </c>
    </row>
    <row r="11" spans="1:11" x14ac:dyDescent="0.2">
      <c r="B11" t="s">
        <v>58</v>
      </c>
      <c r="C11" s="21">
        <v>3723</v>
      </c>
      <c r="D11" s="22">
        <f ca="1">_xll.RiskBinomial(C11,C23)</f>
        <v>4</v>
      </c>
      <c r="E11" s="23">
        <f ca="1">IF(D11=0,0,1)</f>
        <v>1</v>
      </c>
      <c r="F11" s="4"/>
      <c r="G11" s="24"/>
    </row>
    <row r="12" spans="1:11" x14ac:dyDescent="0.2">
      <c r="B12" t="s">
        <v>59</v>
      </c>
      <c r="C12" s="21">
        <v>3723</v>
      </c>
      <c r="D12" s="22">
        <f ca="1">IF(E11=0,#N/A,_xll.RiskBinomial(C12,C23))</f>
        <v>3</v>
      </c>
      <c r="E12" s="23">
        <f ca="1">IF(ISERROR(D12),"#N/A",IF(D12=0,0,1))</f>
        <v>1</v>
      </c>
    </row>
    <row r="13" spans="1:11" x14ac:dyDescent="0.2">
      <c r="B13" t="s">
        <v>60</v>
      </c>
      <c r="C13" s="21">
        <v>3723</v>
      </c>
      <c r="D13" s="22" t="e">
        <f ca="1">IF(E11=0,_xll.RiskBinomial(C13,C23),#N/A)</f>
        <v>#N/A</v>
      </c>
      <c r="E13" s="23" t="str">
        <f t="shared" ref="E13:E14" ca="1" si="0">IF(ISERROR(D13),"#N/A",IF(D13=0,0,1))</f>
        <v>#N/A</v>
      </c>
    </row>
    <row r="14" spans="1:11" x14ac:dyDescent="0.2">
      <c r="B14" t="s">
        <v>61</v>
      </c>
      <c r="C14" s="21">
        <v>3723</v>
      </c>
      <c r="D14" s="22" t="e">
        <f ca="1">IF(E13=0,_xll.RiskBinomial(C14,C23),#N/A)</f>
        <v>#N/A</v>
      </c>
      <c r="E14" s="23" t="str">
        <f t="shared" ca="1" si="0"/>
        <v>#N/A</v>
      </c>
      <c r="F14" s="4"/>
    </row>
    <row r="15" spans="1:11" x14ac:dyDescent="0.2">
      <c r="F15" s="4"/>
    </row>
    <row r="16" spans="1:11" s="25" customFormat="1" x14ac:dyDescent="0.2">
      <c r="E16" t="s">
        <v>62</v>
      </c>
      <c r="F16" s="26"/>
      <c r="I16" s="27"/>
      <c r="J16" s="27"/>
      <c r="K16" s="27"/>
    </row>
    <row r="17" spans="1:5" x14ac:dyDescent="0.2">
      <c r="D17" t="s">
        <v>63</v>
      </c>
      <c r="E17" s="37">
        <f ca="1">_xll.RiskOutput()+IF(SUM(E11:E12)=2,1,0)</f>
        <v>1</v>
      </c>
    </row>
    <row r="18" spans="1:5" x14ac:dyDescent="0.2">
      <c r="D18" t="s">
        <v>64</v>
      </c>
      <c r="E18" s="37">
        <f ca="1">_xll.RiskOutput()+IF(OR(E11=0,E12=0),1,0)</f>
        <v>0</v>
      </c>
    </row>
    <row r="19" spans="1:5" x14ac:dyDescent="0.2">
      <c r="D19" t="s">
        <v>65</v>
      </c>
      <c r="E19" s="38">
        <f ca="1">_xll.RiskOutput()+IF(OR(E12=0,E13=1),2*C13,3*C13)</f>
        <v>11169</v>
      </c>
    </row>
    <row r="20" spans="1:5" x14ac:dyDescent="0.2">
      <c r="D20" t="s">
        <v>66</v>
      </c>
      <c r="E20" s="37">
        <f ca="1">_xll.RiskOutput()+IF(OR(E12=1,E13=0),3*0.08,2*0.08)</f>
        <v>0.24</v>
      </c>
    </row>
    <row r="21" spans="1:5" x14ac:dyDescent="0.2">
      <c r="D21" t="s">
        <v>67</v>
      </c>
      <c r="E21" s="37">
        <f ca="1">_xll.RiskOutput()+E19*B8</f>
        <v>558.45000000000005</v>
      </c>
    </row>
    <row r="23" spans="1:5" x14ac:dyDescent="0.2">
      <c r="B23" t="s">
        <v>68</v>
      </c>
      <c r="C23" s="21">
        <v>1E-3</v>
      </c>
    </row>
    <row r="25" spans="1:5" x14ac:dyDescent="0.2">
      <c r="A25" s="1" t="s">
        <v>107</v>
      </c>
    </row>
    <row r="26" spans="1:5" x14ac:dyDescent="0.2">
      <c r="A26" s="1"/>
    </row>
    <row r="27" spans="1:5" x14ac:dyDescent="0.2">
      <c r="A27" t="s">
        <v>34</v>
      </c>
      <c r="B27" s="6">
        <v>2.4</v>
      </c>
      <c r="C27" t="s">
        <v>8</v>
      </c>
    </row>
    <row r="28" spans="1:5" x14ac:dyDescent="0.2">
      <c r="A28" t="s">
        <v>35</v>
      </c>
      <c r="B28" s="6">
        <v>2</v>
      </c>
      <c r="C28" t="s">
        <v>19</v>
      </c>
    </row>
    <row r="29" spans="1:5" x14ac:dyDescent="0.2">
      <c r="A29" t="s">
        <v>36</v>
      </c>
      <c r="B29" s="9">
        <f>(2*B27)*B28</f>
        <v>9.6</v>
      </c>
      <c r="C29" t="s">
        <v>8</v>
      </c>
    </row>
    <row r="31" spans="1:5" x14ac:dyDescent="0.2">
      <c r="A31" t="s">
        <v>37</v>
      </c>
      <c r="B31" s="6">
        <v>1E-3</v>
      </c>
      <c r="C31" t="s">
        <v>38</v>
      </c>
    </row>
    <row r="32" spans="1:5" x14ac:dyDescent="0.2">
      <c r="A32" t="s">
        <v>39</v>
      </c>
      <c r="B32" s="11">
        <f>B31*G5</f>
        <v>45</v>
      </c>
      <c r="C32" t="s">
        <v>6</v>
      </c>
    </row>
    <row r="34" spans="1:7" x14ac:dyDescent="0.2">
      <c r="A34" t="s">
        <v>40</v>
      </c>
      <c r="B34" s="6">
        <v>60</v>
      </c>
    </row>
    <row r="35" spans="1:7" x14ac:dyDescent="0.2">
      <c r="A35" t="s">
        <v>41</v>
      </c>
      <c r="B35" s="15">
        <f>B34/B32</f>
        <v>1.3333333333333333</v>
      </c>
      <c r="C35" t="s">
        <v>14</v>
      </c>
    </row>
    <row r="36" spans="1:7" x14ac:dyDescent="0.2">
      <c r="A36" t="s">
        <v>42</v>
      </c>
      <c r="B36" s="15">
        <f>B35/B29</f>
        <v>0.1388888888888889</v>
      </c>
      <c r="C36" t="s">
        <v>8</v>
      </c>
      <c r="D36" s="16">
        <f>B36*1000</f>
        <v>138.88888888888889</v>
      </c>
      <c r="E36" t="s">
        <v>43</v>
      </c>
    </row>
    <row r="38" spans="1:7" x14ac:dyDescent="0.2">
      <c r="A38" t="s">
        <v>44</v>
      </c>
      <c r="B38" s="6">
        <v>55</v>
      </c>
      <c r="C38" t="s">
        <v>19</v>
      </c>
    </row>
    <row r="39" spans="1:7" x14ac:dyDescent="0.2">
      <c r="A39" t="s">
        <v>45</v>
      </c>
      <c r="B39" s="9">
        <f>B38*(B27*2)</f>
        <v>264</v>
      </c>
      <c r="C39" t="s">
        <v>8</v>
      </c>
    </row>
    <row r="40" spans="1:7" x14ac:dyDescent="0.2">
      <c r="A40" t="s">
        <v>46</v>
      </c>
      <c r="B40" s="17">
        <f>B35/B39</f>
        <v>5.0505050505050501E-3</v>
      </c>
      <c r="C40" t="s">
        <v>8</v>
      </c>
      <c r="D40" s="16">
        <f>B40*1000</f>
        <v>5.0505050505050502</v>
      </c>
      <c r="E40" t="s">
        <v>43</v>
      </c>
    </row>
    <row r="41" spans="1:7" x14ac:dyDescent="0.2">
      <c r="A41" t="s">
        <v>47</v>
      </c>
      <c r="B41" s="17">
        <f>B38*B40</f>
        <v>0.27777777777777773</v>
      </c>
      <c r="C41" t="s">
        <v>8</v>
      </c>
      <c r="D41" s="18">
        <f>B41/(B28*B27)</f>
        <v>5.7870370370370364E-2</v>
      </c>
    </row>
    <row r="43" spans="1:7" x14ac:dyDescent="0.2">
      <c r="A43" t="s">
        <v>48</v>
      </c>
      <c r="B43" s="15">
        <f>B40*B38*(B27*2)</f>
        <v>1.333333333333333</v>
      </c>
      <c r="C43" t="s">
        <v>14</v>
      </c>
    </row>
    <row r="44" spans="1:7" x14ac:dyDescent="0.2">
      <c r="A44" t="s">
        <v>49</v>
      </c>
      <c r="B44" s="16">
        <f>(B27*B28)*F44</f>
        <v>1021.2765957446808</v>
      </c>
      <c r="D44" s="28">
        <f>1/4.7</f>
        <v>0.21276595744680851</v>
      </c>
      <c r="E44" s="2" t="s">
        <v>50</v>
      </c>
      <c r="F44" s="28">
        <f>1000*D44</f>
        <v>212.7659574468085</v>
      </c>
      <c r="G44" s="2" t="s">
        <v>51</v>
      </c>
    </row>
    <row r="45" spans="1:7" x14ac:dyDescent="0.2">
      <c r="A45" t="s">
        <v>52</v>
      </c>
      <c r="B45" s="10">
        <f>ROUND(B38*B44,0)</f>
        <v>56170</v>
      </c>
    </row>
    <row r="46" spans="1:7" x14ac:dyDescent="0.2">
      <c r="A46" t="s">
        <v>53</v>
      </c>
      <c r="B46" s="38">
        <f ca="1">_xll.RiskOutput()+_xll.RiskBinomial(B45,B31)</f>
        <v>47</v>
      </c>
      <c r="C46" s="7"/>
      <c r="D46" s="7"/>
      <c r="E46" s="7"/>
    </row>
    <row r="47" spans="1:7" x14ac:dyDescent="0.2">
      <c r="A47" t="s">
        <v>30</v>
      </c>
      <c r="B47" s="37">
        <f ca="1">_xll.RiskOutput()+IF(B46=0,0,1)</f>
        <v>1</v>
      </c>
    </row>
    <row r="49" spans="1:2" x14ac:dyDescent="0.2">
      <c r="A49" t="s">
        <v>54</v>
      </c>
      <c r="B49" s="37">
        <f>_xll.RiskOutput()+B45*B8</f>
        <v>2808.5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21C8-523F-43F8-BF16-CA62B7B16989}">
  <dimension ref="A1:AI57"/>
  <sheetViews>
    <sheetView workbookViewId="0"/>
  </sheetViews>
  <sheetFormatPr defaultRowHeight="12.75" x14ac:dyDescent="0.2"/>
  <cols>
    <col min="1" max="1" width="10.5703125" bestFit="1" customWidth="1"/>
    <col min="4" max="4" width="8.85546875" bestFit="1" customWidth="1"/>
    <col min="5" max="6" width="6.140625" bestFit="1" customWidth="1"/>
    <col min="7" max="7" width="6.7109375" bestFit="1" customWidth="1"/>
    <col min="8" max="8" width="9.28515625" bestFit="1" customWidth="1"/>
    <col min="9" max="9" width="11.42578125" style="2" bestFit="1" customWidth="1"/>
    <col min="10" max="13" width="7.42578125" customWidth="1"/>
    <col min="14" max="14" width="8.42578125" style="18" bestFit="1" customWidth="1"/>
    <col min="15" max="15" width="13.140625" style="18" bestFit="1" customWidth="1"/>
    <col min="17" max="17" width="8.140625" bestFit="1" customWidth="1"/>
    <col min="18" max="18" width="4.7109375" bestFit="1" customWidth="1"/>
    <col min="19" max="19" width="7.140625" bestFit="1" customWidth="1"/>
    <col min="20" max="20" width="7" bestFit="1" customWidth="1"/>
    <col min="21" max="21" width="4.7109375" bestFit="1" customWidth="1"/>
    <col min="22" max="22" width="5.85546875" bestFit="1" customWidth="1"/>
    <col min="24" max="24" width="8" bestFit="1" customWidth="1"/>
    <col min="25" max="25" width="7" bestFit="1" customWidth="1"/>
    <col min="27" max="29" width="6.5703125" bestFit="1" customWidth="1"/>
    <col min="31" max="31" width="4.7109375" bestFit="1" customWidth="1"/>
    <col min="32" max="32" width="7.140625" bestFit="1" customWidth="1"/>
    <col min="33" max="33" width="7" bestFit="1" customWidth="1"/>
    <col min="34" max="34" width="4.7109375" bestFit="1" customWidth="1"/>
    <col min="35" max="35" width="5.85546875" bestFit="1" customWidth="1"/>
  </cols>
  <sheetData>
    <row r="1" spans="1:35" x14ac:dyDescent="0.2">
      <c r="A1" s="1" t="s">
        <v>107</v>
      </c>
      <c r="D1" t="s">
        <v>69</v>
      </c>
      <c r="E1" s="29" t="s">
        <v>70</v>
      </c>
      <c r="F1" s="29" t="s">
        <v>71</v>
      </c>
      <c r="G1" s="29" t="s">
        <v>72</v>
      </c>
      <c r="H1" s="29" t="s">
        <v>73</v>
      </c>
      <c r="I1" s="2" t="s">
        <v>74</v>
      </c>
      <c r="O1" s="18" t="s">
        <v>74</v>
      </c>
      <c r="R1" t="s">
        <v>75</v>
      </c>
      <c r="S1" t="s">
        <v>76</v>
      </c>
      <c r="T1" s="30" t="s">
        <v>77</v>
      </c>
      <c r="U1" t="s">
        <v>78</v>
      </c>
      <c r="V1" t="s">
        <v>79</v>
      </c>
      <c r="Y1" s="2"/>
      <c r="Z1" s="2"/>
      <c r="AA1" s="2"/>
      <c r="AB1" s="2"/>
      <c r="AC1" s="2"/>
      <c r="AE1" t="s">
        <v>75</v>
      </c>
      <c r="AF1" t="s">
        <v>76</v>
      </c>
      <c r="AG1" s="30" t="s">
        <v>77</v>
      </c>
      <c r="AH1" t="s">
        <v>78</v>
      </c>
      <c r="AI1" t="s">
        <v>79</v>
      </c>
    </row>
    <row r="2" spans="1:35" x14ac:dyDescent="0.2">
      <c r="D2">
        <v>1</v>
      </c>
      <c r="E2" s="29">
        <f t="shared" ref="E2:E57" ca="1" si="0">H2*COS(G2)</f>
        <v>130.89272889747554</v>
      </c>
      <c r="F2" s="29">
        <f t="shared" ref="F2:F57" ca="1" si="1">H2*SIN(G2)</f>
        <v>-77.087649232248623</v>
      </c>
      <c r="G2" s="29">
        <f ca="1">_xll.RiskUniform($L$2,$M$2)</f>
        <v>24.600495559240731</v>
      </c>
      <c r="H2" s="29">
        <f ca="1">_xll.RiskUniform($L$3,$M$3)</f>
        <v>151.90593188675098</v>
      </c>
      <c r="I2" s="2">
        <f ca="1">SQRT(E2^2+F2^2)</f>
        <v>151.90593188675098</v>
      </c>
      <c r="K2" t="s">
        <v>80</v>
      </c>
      <c r="L2">
        <v>0</v>
      </c>
      <c r="M2">
        <v>360</v>
      </c>
      <c r="O2" s="18">
        <v>2.1431233320154064</v>
      </c>
      <c r="R2">
        <v>50</v>
      </c>
      <c r="S2">
        <f>25</f>
        <v>25</v>
      </c>
      <c r="T2" s="30">
        <f>U2/$V$17</f>
        <v>1.7857142857142856E-2</v>
      </c>
      <c r="U2">
        <f>V2</f>
        <v>1</v>
      </c>
      <c r="V2">
        <f>COUNTIF(O:O,"&lt;="&amp;R2)</f>
        <v>1</v>
      </c>
      <c r="X2" s="31" t="s">
        <v>23</v>
      </c>
      <c r="Y2" s="2">
        <f>V17</f>
        <v>56</v>
      </c>
      <c r="Z2" s="2"/>
      <c r="AA2" s="2"/>
      <c r="AB2" s="2"/>
      <c r="AC2" s="2"/>
      <c r="AE2">
        <v>130</v>
      </c>
      <c r="AF2">
        <f>AE2/2</f>
        <v>65</v>
      </c>
      <c r="AG2" s="30">
        <f>AH2/$AI$8</f>
        <v>0.14285714285714285</v>
      </c>
      <c r="AH2">
        <f>AI2</f>
        <v>8</v>
      </c>
      <c r="AI2">
        <f>COUNTIF(O:O,"&lt;="&amp;AE2)</f>
        <v>8</v>
      </c>
    </row>
    <row r="3" spans="1:35" x14ac:dyDescent="0.2">
      <c r="D3">
        <v>2</v>
      </c>
      <c r="E3" s="29">
        <f t="shared" ca="1" si="0"/>
        <v>-490.88077872458564</v>
      </c>
      <c r="F3" s="29">
        <f t="shared" ca="1" si="1"/>
        <v>-77.841685034751791</v>
      </c>
      <c r="G3" s="29">
        <f ca="1">_xll.RiskUniform($L$2,$M$2)</f>
        <v>84.980267698170721</v>
      </c>
      <c r="H3" s="29">
        <f ca="1">_xll.RiskUniform($L$3,$M$3)</f>
        <v>497.01435276086858</v>
      </c>
      <c r="I3" s="2">
        <f t="shared" ref="I3:I57" ca="1" si="2">SQRT(E3^2+F3^2)</f>
        <v>497.01435276086858</v>
      </c>
      <c r="K3" t="s">
        <v>81</v>
      </c>
      <c r="L3">
        <v>0</v>
      </c>
      <c r="M3">
        <v>800</v>
      </c>
      <c r="O3" s="18">
        <v>56.763182769341199</v>
      </c>
      <c r="R3">
        <v>100</v>
      </c>
      <c r="S3">
        <f>S2+50</f>
        <v>75</v>
      </c>
      <c r="T3" s="30">
        <f t="shared" ref="T3:T21" si="3">U3/$V$17</f>
        <v>7.1428571428571425E-2</v>
      </c>
      <c r="U3">
        <f>V3-V2</f>
        <v>4</v>
      </c>
      <c r="V3">
        <f t="shared" ref="V3:V21" si="4">COUNTIF(O:O,"&lt;="&amp;R3)</f>
        <v>5</v>
      </c>
      <c r="X3" s="31" t="s">
        <v>82</v>
      </c>
      <c r="Y3" s="2">
        <f>STDEV(O:O)</f>
        <v>215.01112697032443</v>
      </c>
      <c r="Z3" s="2"/>
      <c r="AA3" s="2"/>
      <c r="AB3" s="2"/>
      <c r="AC3" s="2"/>
      <c r="AE3">
        <f>AE2+$AE$2</f>
        <v>260</v>
      </c>
      <c r="AF3">
        <f>AF2+$AE$2</f>
        <v>195</v>
      </c>
      <c r="AG3" s="30">
        <f t="shared" ref="AG3:AG8" si="5">AH3/$AI$8</f>
        <v>0.32142857142857145</v>
      </c>
      <c r="AH3">
        <f>AI3-AI2</f>
        <v>18</v>
      </c>
      <c r="AI3">
        <f t="shared" ref="AI3:AI8" si="6">COUNTIF(O:O,"&lt;="&amp;AE3)</f>
        <v>26</v>
      </c>
    </row>
    <row r="4" spans="1:35" x14ac:dyDescent="0.2">
      <c r="A4">
        <f>9*150</f>
        <v>1350</v>
      </c>
      <c r="D4">
        <v>3</v>
      </c>
      <c r="E4" s="29">
        <f t="shared" ca="1" si="0"/>
        <v>-300.28516961751177</v>
      </c>
      <c r="F4" s="29">
        <f t="shared" ca="1" si="1"/>
        <v>-155.98575018972576</v>
      </c>
      <c r="G4" s="29">
        <f ca="1">_xll.RiskUniform($L$2,$M$2)</f>
        <v>28.75342701028325</v>
      </c>
      <c r="H4" s="29">
        <f ca="1">_xll.RiskUniform($L$3,$M$3)</f>
        <v>338.38253110122179</v>
      </c>
      <c r="I4" s="2">
        <f t="shared" ca="1" si="2"/>
        <v>338.38253110122184</v>
      </c>
      <c r="O4" s="18">
        <v>61.626192007796021</v>
      </c>
      <c r="R4">
        <v>150</v>
      </c>
      <c r="S4">
        <f t="shared" ref="S4:S21" si="7">S3+50</f>
        <v>125</v>
      </c>
      <c r="T4" s="30">
        <f t="shared" si="3"/>
        <v>0.125</v>
      </c>
      <c r="U4">
        <f t="shared" ref="U4:U21" si="8">V4-V3</f>
        <v>7</v>
      </c>
      <c r="V4">
        <f t="shared" si="4"/>
        <v>12</v>
      </c>
      <c r="X4" s="31" t="s">
        <v>83</v>
      </c>
      <c r="Y4" s="2">
        <f>MAX(O:O)-MIN(O:O)</f>
        <v>786.31971366416712</v>
      </c>
      <c r="Z4" s="2"/>
      <c r="AA4" s="2" t="s">
        <v>84</v>
      </c>
      <c r="AB4" s="2" t="s">
        <v>85</v>
      </c>
      <c r="AC4" s="2" t="s">
        <v>86</v>
      </c>
      <c r="AE4">
        <f t="shared" ref="AE4:AF8" si="9">AE3+$AE$2</f>
        <v>390</v>
      </c>
      <c r="AF4">
        <f t="shared" si="9"/>
        <v>325</v>
      </c>
      <c r="AG4" s="30">
        <f t="shared" si="5"/>
        <v>0.19642857142857142</v>
      </c>
      <c r="AH4">
        <f t="shared" ref="AH4:AH8" si="10">AI4-AI3</f>
        <v>11</v>
      </c>
      <c r="AI4">
        <f t="shared" si="6"/>
        <v>37</v>
      </c>
    </row>
    <row r="5" spans="1:35" x14ac:dyDescent="0.2">
      <c r="A5">
        <v>0.01</v>
      </c>
      <c r="D5">
        <v>4</v>
      </c>
      <c r="E5" s="29">
        <f t="shared" ca="1" si="0"/>
        <v>52.183501798357206</v>
      </c>
      <c r="F5" s="29">
        <f t="shared" ca="1" si="1"/>
        <v>149.57352071663004</v>
      </c>
      <c r="G5" s="29">
        <f ca="1">_xll.RiskUniform($L$2,$M$2)</f>
        <v>158.31475056822899</v>
      </c>
      <c r="H5" s="29">
        <f ca="1">_xll.RiskUniform($L$3,$M$3)</f>
        <v>158.41513803771187</v>
      </c>
      <c r="I5" s="2">
        <f t="shared" ca="1" si="2"/>
        <v>158.41513803771187</v>
      </c>
      <c r="O5" s="18">
        <v>71.18213204823914</v>
      </c>
      <c r="R5">
        <v>200</v>
      </c>
      <c r="S5">
        <f t="shared" si="7"/>
        <v>175</v>
      </c>
      <c r="T5" s="30">
        <f t="shared" si="3"/>
        <v>7.1428571428571425E-2</v>
      </c>
      <c r="U5">
        <f t="shared" si="8"/>
        <v>4</v>
      </c>
      <c r="V5">
        <f t="shared" si="4"/>
        <v>16</v>
      </c>
      <c r="X5" s="31" t="s">
        <v>87</v>
      </c>
      <c r="Y5" s="2">
        <f>AC5-AC6</f>
        <v>282.76691399975425</v>
      </c>
      <c r="Z5" s="2"/>
      <c r="AA5" s="2" cm="1">
        <f t="array" ref="AA5">INDEX($O$2:$O$57,ROUND(Y10,0))</f>
        <v>465.34721775248966</v>
      </c>
      <c r="AB5" s="2" cm="1">
        <f t="array" ref="AB5">INDEX($O$2:$O$57,ROUND(Y10,0)+1)</f>
        <v>477.01048610157147</v>
      </c>
      <c r="AC5" s="2">
        <f>AVERAGE(AA5:AB5)</f>
        <v>471.17885192703056</v>
      </c>
      <c r="AE5">
        <f t="shared" si="9"/>
        <v>520</v>
      </c>
      <c r="AF5">
        <f t="shared" si="9"/>
        <v>455</v>
      </c>
      <c r="AG5" s="30">
        <f t="shared" si="5"/>
        <v>0.16071428571428573</v>
      </c>
      <c r="AH5">
        <f t="shared" si="10"/>
        <v>9</v>
      </c>
      <c r="AI5">
        <f t="shared" si="6"/>
        <v>46</v>
      </c>
    </row>
    <row r="6" spans="1:35" x14ac:dyDescent="0.2">
      <c r="A6">
        <v>0.03</v>
      </c>
      <c r="D6">
        <v>5</v>
      </c>
      <c r="E6" s="29">
        <f t="shared" ca="1" si="0"/>
        <v>716.76152116503386</v>
      </c>
      <c r="F6" s="29">
        <f t="shared" ca="1" si="1"/>
        <v>-12.475731599527728</v>
      </c>
      <c r="G6" s="29">
        <f ca="1">_xll.RiskUniform($L$2,$M$2)</f>
        <v>188.47815527895244</v>
      </c>
      <c r="H6" s="29">
        <f ca="1">_xll.RiskUniform($L$3,$M$3)</f>
        <v>716.87008732528147</v>
      </c>
      <c r="I6" s="2">
        <f t="shared" ca="1" si="2"/>
        <v>716.87008732528147</v>
      </c>
      <c r="O6" s="18">
        <v>80.169872274657976</v>
      </c>
      <c r="R6">
        <v>250</v>
      </c>
      <c r="S6">
        <f t="shared" si="7"/>
        <v>225</v>
      </c>
      <c r="T6" s="30">
        <f t="shared" si="3"/>
        <v>0.125</v>
      </c>
      <c r="U6">
        <f t="shared" si="8"/>
        <v>7</v>
      </c>
      <c r="V6">
        <f t="shared" si="4"/>
        <v>23</v>
      </c>
      <c r="Y6" s="2"/>
      <c r="Z6" s="2"/>
      <c r="AA6" s="2" cm="1">
        <f t="array" ref="AA6">INDEX($O$2:$O$57,ROUND(Y9,0))</f>
        <v>186.73720605620963</v>
      </c>
      <c r="AB6" s="2" cm="1">
        <f t="array" ref="AB6">INDEX($O$2:$O$57,ROUND(Y9,0)+1)</f>
        <v>190.08666979834294</v>
      </c>
      <c r="AC6" s="2">
        <f>AVERAGE(AA6:AB6)</f>
        <v>188.41193792727628</v>
      </c>
      <c r="AE6">
        <f t="shared" si="9"/>
        <v>650</v>
      </c>
      <c r="AF6">
        <f t="shared" si="9"/>
        <v>585</v>
      </c>
      <c r="AG6" s="30">
        <f t="shared" si="5"/>
        <v>3.5714285714285712E-2</v>
      </c>
      <c r="AH6">
        <f t="shared" si="10"/>
        <v>2</v>
      </c>
      <c r="AI6">
        <f t="shared" si="6"/>
        <v>48</v>
      </c>
    </row>
    <row r="7" spans="1:35" x14ac:dyDescent="0.2">
      <c r="D7">
        <v>6</v>
      </c>
      <c r="E7" s="29">
        <f t="shared" ca="1" si="0"/>
        <v>494.14745997234508</v>
      </c>
      <c r="F7" s="29">
        <f t="shared" ca="1" si="1"/>
        <v>475.04501033108704</v>
      </c>
      <c r="G7" s="29">
        <f ca="1">_xll.RiskUniform($L$2,$M$2)</f>
        <v>126.42939720316473</v>
      </c>
      <c r="H7" s="29">
        <f ca="1">_xll.RiskUniform($L$3,$M$3)</f>
        <v>685.4556689076129</v>
      </c>
      <c r="I7" s="2">
        <f t="shared" ca="1" si="2"/>
        <v>685.4556689076129</v>
      </c>
      <c r="O7" s="18">
        <v>100.64910117124795</v>
      </c>
      <c r="R7">
        <v>300</v>
      </c>
      <c r="S7">
        <f t="shared" si="7"/>
        <v>275</v>
      </c>
      <c r="T7" s="30">
        <f t="shared" si="3"/>
        <v>7.1428571428571425E-2</v>
      </c>
      <c r="U7">
        <f t="shared" si="8"/>
        <v>4</v>
      </c>
      <c r="V7">
        <f t="shared" si="4"/>
        <v>27</v>
      </c>
      <c r="Y7" s="2"/>
      <c r="Z7" s="2"/>
      <c r="AA7" s="2"/>
      <c r="AB7" s="2"/>
      <c r="AC7" s="2"/>
      <c r="AE7">
        <f t="shared" si="9"/>
        <v>780</v>
      </c>
      <c r="AF7">
        <f t="shared" si="9"/>
        <v>715</v>
      </c>
      <c r="AG7" s="30">
        <f t="shared" si="5"/>
        <v>0.10714285714285714</v>
      </c>
      <c r="AH7">
        <f t="shared" si="10"/>
        <v>6</v>
      </c>
      <c r="AI7">
        <f t="shared" si="6"/>
        <v>54</v>
      </c>
    </row>
    <row r="8" spans="1:35" x14ac:dyDescent="0.2">
      <c r="A8" t="s">
        <v>88</v>
      </c>
      <c r="B8">
        <v>1.2</v>
      </c>
      <c r="D8">
        <v>7</v>
      </c>
      <c r="E8" s="29">
        <f t="shared" ca="1" si="0"/>
        <v>-87.99485867099223</v>
      </c>
      <c r="F8" s="29">
        <f t="shared" ca="1" si="1"/>
        <v>-19.238877148730101</v>
      </c>
      <c r="G8" s="29">
        <f ca="1">_xll.RiskUniform($L$2,$M$2)</f>
        <v>41.055953760130407</v>
      </c>
      <c r="H8" s="29">
        <f ca="1">_xll.RiskUniform($L$3,$M$3)</f>
        <v>90.07346749443937</v>
      </c>
      <c r="I8" s="2">
        <f t="shared" ca="1" si="2"/>
        <v>90.07346749443937</v>
      </c>
      <c r="O8" s="18">
        <v>102.19496733893988</v>
      </c>
      <c r="R8">
        <v>350</v>
      </c>
      <c r="S8">
        <f t="shared" si="7"/>
        <v>325</v>
      </c>
      <c r="T8" s="30">
        <f t="shared" si="3"/>
        <v>0.10714285714285714</v>
      </c>
      <c r="U8">
        <f t="shared" si="8"/>
        <v>6</v>
      </c>
      <c r="V8">
        <f t="shared" si="4"/>
        <v>33</v>
      </c>
      <c r="Y8" s="2"/>
      <c r="Z8" s="2"/>
      <c r="AA8" s="2"/>
      <c r="AB8" s="2"/>
      <c r="AC8" s="2"/>
      <c r="AE8">
        <f t="shared" si="9"/>
        <v>910</v>
      </c>
      <c r="AF8">
        <f t="shared" si="9"/>
        <v>845</v>
      </c>
      <c r="AG8" s="30">
        <f t="shared" si="5"/>
        <v>3.5714285714285712E-2</v>
      </c>
      <c r="AH8">
        <f t="shared" si="10"/>
        <v>2</v>
      </c>
      <c r="AI8">
        <f t="shared" si="6"/>
        <v>56</v>
      </c>
    </row>
    <row r="9" spans="1:35" x14ac:dyDescent="0.2">
      <c r="B9" s="2"/>
      <c r="D9">
        <v>8</v>
      </c>
      <c r="E9" s="29">
        <f t="shared" ca="1" si="0"/>
        <v>-26.63153040066376</v>
      </c>
      <c r="F9" s="29">
        <f t="shared" ca="1" si="1"/>
        <v>722.89085039286113</v>
      </c>
      <c r="G9" s="29">
        <f ca="1">_xll.RiskUniform($L$2,$M$2)</f>
        <v>340.89962658158129</v>
      </c>
      <c r="H9" s="29">
        <f ca="1">_xll.RiskUniform($L$3,$M$3)</f>
        <v>723.3812411123165</v>
      </c>
      <c r="I9" s="2">
        <f t="shared" ca="1" si="2"/>
        <v>723.3812411123165</v>
      </c>
      <c r="O9" s="18">
        <v>118.55743203032416</v>
      </c>
      <c r="R9">
        <v>400</v>
      </c>
      <c r="S9">
        <f t="shared" si="7"/>
        <v>375</v>
      </c>
      <c r="T9" s="30">
        <f t="shared" si="3"/>
        <v>7.1428571428571425E-2</v>
      </c>
      <c r="U9">
        <f t="shared" si="8"/>
        <v>4</v>
      </c>
      <c r="V9">
        <f t="shared" si="4"/>
        <v>37</v>
      </c>
      <c r="X9" t="s">
        <v>89</v>
      </c>
      <c r="Y9" s="2">
        <f>Y2/4</f>
        <v>14</v>
      </c>
      <c r="Z9" s="2"/>
      <c r="AA9" s="2"/>
      <c r="AB9" s="2"/>
      <c r="AC9" s="2"/>
      <c r="AG9" s="30"/>
    </row>
    <row r="10" spans="1:35" x14ac:dyDescent="0.2">
      <c r="D10">
        <v>9</v>
      </c>
      <c r="E10" s="29">
        <f t="shared" ca="1" si="0"/>
        <v>-2.0692838905666124</v>
      </c>
      <c r="F10" s="29">
        <f t="shared" ca="1" si="1"/>
        <v>-38.129372901795499</v>
      </c>
      <c r="G10" s="29">
        <f ca="1">_xll.RiskUniform($L$2,$M$2)</f>
        <v>224.56965784315423</v>
      </c>
      <c r="H10" s="29">
        <f ca="1">_xll.RiskUniform($L$3,$M$3)</f>
        <v>38.185481713655719</v>
      </c>
      <c r="I10" s="2">
        <f t="shared" ca="1" si="2"/>
        <v>38.185481713655719</v>
      </c>
      <c r="K10" t="s">
        <v>90</v>
      </c>
      <c r="L10" s="2">
        <f ca="1">AVERAGE(I:I)</f>
        <v>384.7487119138645</v>
      </c>
      <c r="O10" s="18">
        <v>134.20237999079427</v>
      </c>
      <c r="R10">
        <v>450</v>
      </c>
      <c r="S10">
        <f t="shared" si="7"/>
        <v>425</v>
      </c>
      <c r="T10" s="30">
        <f t="shared" si="3"/>
        <v>3.5714285714285712E-2</v>
      </c>
      <c r="U10">
        <f t="shared" si="8"/>
        <v>2</v>
      </c>
      <c r="V10">
        <f t="shared" si="4"/>
        <v>39</v>
      </c>
      <c r="Y10" s="2">
        <f>3*Y9</f>
        <v>42</v>
      </c>
      <c r="Z10" s="2"/>
      <c r="AA10" s="2"/>
      <c r="AB10" s="2"/>
      <c r="AC10" s="2"/>
      <c r="AG10" s="30"/>
    </row>
    <row r="11" spans="1:35" x14ac:dyDescent="0.2">
      <c r="D11">
        <v>10</v>
      </c>
      <c r="E11" s="29">
        <f t="shared" ca="1" si="0"/>
        <v>-154.543373345671</v>
      </c>
      <c r="F11" s="29">
        <f t="shared" ca="1" si="1"/>
        <v>-61.520307165804951</v>
      </c>
      <c r="G11" s="29">
        <f ca="1">_xll.RiskUniform($L$2,$M$2)</f>
        <v>16.08681159639</v>
      </c>
      <c r="H11" s="29">
        <f ca="1">_xll.RiskUniform($L$3,$M$3)</f>
        <v>166.33821701231034</v>
      </c>
      <c r="I11" s="2">
        <f t="shared" ca="1" si="2"/>
        <v>166.33821701231034</v>
      </c>
      <c r="K11" t="s">
        <v>91</v>
      </c>
      <c r="L11" s="2">
        <f ca="1">MIN(I:I)</f>
        <v>17.374457014728595</v>
      </c>
      <c r="O11" s="18">
        <v>140.81312978488344</v>
      </c>
      <c r="R11">
        <v>500</v>
      </c>
      <c r="S11">
        <f t="shared" si="7"/>
        <v>475</v>
      </c>
      <c r="T11" s="30">
        <f t="shared" si="3"/>
        <v>8.9285714285714288E-2</v>
      </c>
      <c r="U11">
        <f t="shared" si="8"/>
        <v>5</v>
      </c>
      <c r="V11">
        <f t="shared" si="4"/>
        <v>44</v>
      </c>
      <c r="Y11" s="2"/>
      <c r="Z11" s="2"/>
      <c r="AA11" s="2"/>
      <c r="AB11" s="2"/>
      <c r="AC11" s="2"/>
      <c r="AG11" s="30"/>
    </row>
    <row r="12" spans="1:35" x14ac:dyDescent="0.2">
      <c r="D12">
        <v>11</v>
      </c>
      <c r="E12" s="29">
        <f t="shared" ca="1" si="0"/>
        <v>-76.376991542642727</v>
      </c>
      <c r="F12" s="29">
        <f t="shared" ca="1" si="1"/>
        <v>328.88440845507756</v>
      </c>
      <c r="G12" s="29">
        <f ca="1">_xll.RiskUniform($L$2,$M$2)</f>
        <v>315.95824747638773</v>
      </c>
      <c r="H12" s="29">
        <f ca="1">_xll.RiskUniform($L$3,$M$3)</f>
        <v>337.63648938162953</v>
      </c>
      <c r="I12" s="2">
        <f t="shared" ca="1" si="2"/>
        <v>337.63648938162953</v>
      </c>
      <c r="K12" t="s">
        <v>92</v>
      </c>
      <c r="L12" s="2">
        <f ca="1">MAX(I:I)</f>
        <v>793.42981599804864</v>
      </c>
      <c r="O12" s="18">
        <v>141.24171938246411</v>
      </c>
      <c r="R12">
        <v>550</v>
      </c>
      <c r="S12">
        <f t="shared" si="7"/>
        <v>525</v>
      </c>
      <c r="T12" s="30">
        <f t="shared" si="3"/>
        <v>3.5714285714285712E-2</v>
      </c>
      <c r="U12">
        <f t="shared" si="8"/>
        <v>2</v>
      </c>
      <c r="V12">
        <f t="shared" si="4"/>
        <v>46</v>
      </c>
      <c r="Y12" s="2"/>
      <c r="Z12" s="2"/>
      <c r="AA12" s="2"/>
      <c r="AB12" s="2"/>
      <c r="AC12" s="2"/>
      <c r="AG12" s="30"/>
    </row>
    <row r="13" spans="1:35" x14ac:dyDescent="0.2">
      <c r="A13" t="s">
        <v>93</v>
      </c>
      <c r="D13">
        <v>12</v>
      </c>
      <c r="E13" s="29">
        <f t="shared" ca="1" si="0"/>
        <v>63.896483730091234</v>
      </c>
      <c r="F13" s="29">
        <f t="shared" ca="1" si="1"/>
        <v>56.336977208592764</v>
      </c>
      <c r="G13" s="29">
        <f ca="1">_xll.RiskUniform($L$2,$M$2)</f>
        <v>208.06772238590247</v>
      </c>
      <c r="H13" s="29">
        <f ca="1">_xll.RiskUniform($L$3,$M$3)</f>
        <v>85.185771312299067</v>
      </c>
      <c r="I13" s="2">
        <f t="shared" ca="1" si="2"/>
        <v>85.185771312299067</v>
      </c>
      <c r="O13" s="18">
        <v>149.33680276368878</v>
      </c>
      <c r="R13">
        <v>600</v>
      </c>
      <c r="S13">
        <f t="shared" si="7"/>
        <v>575</v>
      </c>
      <c r="T13" s="30">
        <f t="shared" si="3"/>
        <v>0</v>
      </c>
      <c r="U13">
        <f t="shared" si="8"/>
        <v>0</v>
      </c>
      <c r="V13">
        <f t="shared" si="4"/>
        <v>46</v>
      </c>
      <c r="X13" s="32" t="s">
        <v>94</v>
      </c>
      <c r="Y13" s="33">
        <f>(Y2^0.333*Y4)/(2*Y5)</f>
        <v>5.3123562216887166</v>
      </c>
      <c r="Z13" s="2"/>
      <c r="AA13" s="2"/>
      <c r="AB13" s="2"/>
      <c r="AC13" s="2"/>
      <c r="AG13" s="30"/>
    </row>
    <row r="14" spans="1:35" x14ac:dyDescent="0.2">
      <c r="A14">
        <v>1</v>
      </c>
      <c r="B14">
        <f ca="1">ROUND(_xll.RiskUniform(A29,B29),0)</f>
        <v>0</v>
      </c>
      <c r="D14">
        <v>13</v>
      </c>
      <c r="E14" s="29">
        <f t="shared" ca="1" si="0"/>
        <v>-50.343950754776536</v>
      </c>
      <c r="F14" s="29">
        <f t="shared" ca="1" si="1"/>
        <v>743.04699562936446</v>
      </c>
      <c r="G14" s="29">
        <f ca="1">_xll.RiskUniform($L$2,$M$2)</f>
        <v>95.886225931783756</v>
      </c>
      <c r="H14" s="29">
        <f ca="1">_xll.RiskUniform($L$3,$M$3)</f>
        <v>744.7505294334635</v>
      </c>
      <c r="I14" s="2">
        <f t="shared" ca="1" si="2"/>
        <v>744.7505294334635</v>
      </c>
      <c r="K14" t="s">
        <v>96</v>
      </c>
      <c r="L14">
        <f ca="1">COUNTIF(I:I,"&lt;400")</f>
        <v>27</v>
      </c>
      <c r="O14" s="18">
        <v>160.27296889749357</v>
      </c>
      <c r="R14">
        <v>650</v>
      </c>
      <c r="S14">
        <f t="shared" si="7"/>
        <v>625</v>
      </c>
      <c r="T14" s="30">
        <f t="shared" si="3"/>
        <v>3.5714285714285712E-2</v>
      </c>
      <c r="U14">
        <f t="shared" si="8"/>
        <v>2</v>
      </c>
      <c r="V14">
        <f t="shared" si="4"/>
        <v>48</v>
      </c>
      <c r="Y14" s="2"/>
      <c r="Z14" s="2"/>
      <c r="AA14" s="2"/>
      <c r="AB14" s="2"/>
      <c r="AC14" s="2"/>
      <c r="AG14" s="30"/>
    </row>
    <row r="15" spans="1:35" x14ac:dyDescent="0.2">
      <c r="A15">
        <v>2</v>
      </c>
      <c r="B15">
        <f ca="1">ROUND(_xll.RiskUniform(A30,B30),0)</f>
        <v>0</v>
      </c>
      <c r="D15">
        <v>14</v>
      </c>
      <c r="E15" s="29">
        <f t="shared" ca="1" si="0"/>
        <v>35.470558036897017</v>
      </c>
      <c r="F15" s="29">
        <f t="shared" ca="1" si="1"/>
        <v>335.78573950695539</v>
      </c>
      <c r="G15" s="29">
        <f ca="1">_xll.RiskUniform($L$2,$M$2)</f>
        <v>208.81066726855593</v>
      </c>
      <c r="H15" s="29">
        <f ca="1">_xll.RiskUniform($L$3,$M$3)</f>
        <v>337.65399944866903</v>
      </c>
      <c r="I15" s="2">
        <f t="shared" ca="1" si="2"/>
        <v>337.65399944866903</v>
      </c>
      <c r="L15">
        <f ca="1">L14/56</f>
        <v>0.48214285714285715</v>
      </c>
      <c r="O15" s="18">
        <v>186.73720605620963</v>
      </c>
      <c r="R15">
        <v>700</v>
      </c>
      <c r="S15">
        <f t="shared" si="7"/>
        <v>675</v>
      </c>
      <c r="T15" s="30">
        <f t="shared" si="3"/>
        <v>3.5714285714285712E-2</v>
      </c>
      <c r="U15">
        <f t="shared" si="8"/>
        <v>2</v>
      </c>
      <c r="V15">
        <f t="shared" si="4"/>
        <v>50</v>
      </c>
      <c r="Y15" s="2"/>
      <c r="Z15" s="2"/>
      <c r="AA15" s="2"/>
      <c r="AB15" s="2"/>
      <c r="AC15" s="2"/>
      <c r="AG15" s="30"/>
    </row>
    <row r="16" spans="1:35" x14ac:dyDescent="0.2">
      <c r="A16">
        <v>3</v>
      </c>
      <c r="B16">
        <f ca="1">ROUND(_xll.RiskUniform(A31,B31),0)</f>
        <v>0</v>
      </c>
      <c r="D16">
        <v>15</v>
      </c>
      <c r="E16" s="29">
        <f t="shared" ca="1" si="0"/>
        <v>-428.76672074926961</v>
      </c>
      <c r="F16" s="29">
        <f t="shared" ca="1" si="1"/>
        <v>-357.12348286622432</v>
      </c>
      <c r="G16" s="29">
        <f ca="1">_xll.RiskUniform($L$2,$M$2)</f>
        <v>198.61482472910129</v>
      </c>
      <c r="H16" s="29">
        <f ca="1">_xll.RiskUniform($L$3,$M$3)</f>
        <v>558.01261888651277</v>
      </c>
      <c r="I16" s="2">
        <f t="shared" ca="1" si="2"/>
        <v>558.01261888651277</v>
      </c>
      <c r="O16" s="18">
        <v>190.08666979834294</v>
      </c>
      <c r="R16">
        <v>750</v>
      </c>
      <c r="S16">
        <f t="shared" si="7"/>
        <v>725</v>
      </c>
      <c r="T16" s="30">
        <f t="shared" si="3"/>
        <v>3.5714285714285712E-2</v>
      </c>
      <c r="U16">
        <f t="shared" si="8"/>
        <v>2</v>
      </c>
      <c r="V16">
        <f t="shared" si="4"/>
        <v>52</v>
      </c>
      <c r="Y16" s="2"/>
      <c r="Z16" s="2"/>
      <c r="AA16" s="2"/>
      <c r="AB16" s="2"/>
      <c r="AC16" s="2"/>
      <c r="AG16" s="30"/>
    </row>
    <row r="17" spans="1:33" x14ac:dyDescent="0.2">
      <c r="A17">
        <v>4</v>
      </c>
      <c r="B17">
        <f ca="1">ROUND(_xll.RiskUniform(A32,B32),0)</f>
        <v>0</v>
      </c>
      <c r="D17">
        <v>16</v>
      </c>
      <c r="E17" s="29">
        <f t="shared" ca="1" si="0"/>
        <v>-8.1851516841658771</v>
      </c>
      <c r="F17" s="29">
        <f t="shared" ca="1" si="1"/>
        <v>542.57956646702019</v>
      </c>
      <c r="G17" s="29">
        <f ca="1">_xll.RiskUniform($L$2,$M$2)</f>
        <v>1.5858808072285058</v>
      </c>
      <c r="H17" s="29">
        <f ca="1">_xll.RiskUniform($L$3,$M$3)</f>
        <v>542.64130201785451</v>
      </c>
      <c r="I17" s="2">
        <f t="shared" ca="1" si="2"/>
        <v>542.64130201785451</v>
      </c>
      <c r="O17" s="18">
        <v>196.51736224713616</v>
      </c>
      <c r="R17">
        <v>800</v>
      </c>
      <c r="S17">
        <f t="shared" si="7"/>
        <v>775</v>
      </c>
      <c r="T17" s="30">
        <f t="shared" si="3"/>
        <v>7.1428571428571425E-2</v>
      </c>
      <c r="U17">
        <f t="shared" si="8"/>
        <v>4</v>
      </c>
      <c r="V17">
        <f t="shared" si="4"/>
        <v>56</v>
      </c>
      <c r="X17" s="32" t="s">
        <v>97</v>
      </c>
      <c r="Y17" s="33">
        <f>1+3.322*LOG(Y2)</f>
        <v>6.8074806257145983</v>
      </c>
      <c r="Z17" s="2"/>
      <c r="AA17" s="2"/>
      <c r="AB17" s="2"/>
      <c r="AC17" s="2"/>
      <c r="AG17" s="30"/>
    </row>
    <row r="18" spans="1:33" x14ac:dyDescent="0.2">
      <c r="A18">
        <v>5</v>
      </c>
      <c r="B18">
        <f ca="1">ROUND(_xll.RiskUniform(A33,B33),0)</f>
        <v>0</v>
      </c>
      <c r="D18">
        <v>17</v>
      </c>
      <c r="E18" s="29">
        <f t="shared" ca="1" si="0"/>
        <v>722.55520963254185</v>
      </c>
      <c r="F18" s="29">
        <f t="shared" ca="1" si="1"/>
        <v>-250.54844709694038</v>
      </c>
      <c r="G18" s="29">
        <f ca="1">_xll.RiskUniform($L$2,$M$2)</f>
        <v>200.72815026234954</v>
      </c>
      <c r="H18" s="29">
        <f ca="1">_xll.RiskUniform($L$3,$M$3)</f>
        <v>764.76176376033266</v>
      </c>
      <c r="I18" s="2">
        <f t="shared" ca="1" si="2"/>
        <v>764.76176376033266</v>
      </c>
      <c r="O18" s="18">
        <v>202.04192402679126</v>
      </c>
      <c r="R18">
        <v>801</v>
      </c>
      <c r="S18">
        <f t="shared" si="7"/>
        <v>825</v>
      </c>
      <c r="T18" s="30">
        <f t="shared" si="3"/>
        <v>0</v>
      </c>
      <c r="U18">
        <f t="shared" si="8"/>
        <v>0</v>
      </c>
      <c r="V18">
        <f t="shared" si="4"/>
        <v>56</v>
      </c>
      <c r="Y18" s="2"/>
      <c r="Z18" s="2"/>
      <c r="AA18" s="2"/>
      <c r="AB18" s="2"/>
      <c r="AC18" s="2"/>
      <c r="AG18" s="30"/>
    </row>
    <row r="19" spans="1:33" x14ac:dyDescent="0.2">
      <c r="A19">
        <v>6</v>
      </c>
      <c r="B19">
        <f ca="1">ROUND(_xll.RiskUniform(A34,B34),0)</f>
        <v>0</v>
      </c>
      <c r="D19">
        <v>18</v>
      </c>
      <c r="E19" s="29">
        <f t="shared" ca="1" si="0"/>
        <v>27.906424375576709</v>
      </c>
      <c r="F19" s="29">
        <f t="shared" ca="1" si="1"/>
        <v>50.460471514542228</v>
      </c>
      <c r="G19" s="29">
        <f ca="1">_xll.RiskUniform($L$2,$M$2)</f>
        <v>170.71162899622277</v>
      </c>
      <c r="H19" s="29">
        <f ca="1">_xll.RiskUniform($L$3,$M$3)</f>
        <v>57.663053222143112</v>
      </c>
      <c r="I19" s="2">
        <f t="shared" ca="1" si="2"/>
        <v>57.663053222143112</v>
      </c>
      <c r="O19" s="18">
        <v>217.23423468520497</v>
      </c>
      <c r="R19">
        <v>802</v>
      </c>
      <c r="S19">
        <f t="shared" si="7"/>
        <v>875</v>
      </c>
      <c r="T19" s="30">
        <f t="shared" si="3"/>
        <v>0</v>
      </c>
      <c r="U19">
        <f t="shared" si="8"/>
        <v>0</v>
      </c>
      <c r="V19">
        <f t="shared" si="4"/>
        <v>56</v>
      </c>
      <c r="X19" t="s">
        <v>98</v>
      </c>
      <c r="Y19" s="2">
        <f>MAX(O:O)</f>
        <v>788.46283699618255</v>
      </c>
      <c r="Z19" s="2"/>
      <c r="AA19" s="2"/>
      <c r="AB19" s="2"/>
      <c r="AC19" s="2"/>
      <c r="AG19" s="30"/>
    </row>
    <row r="20" spans="1:33" x14ac:dyDescent="0.2">
      <c r="A20">
        <v>7</v>
      </c>
      <c r="B20">
        <f ca="1">ROUND(_xll.RiskUniform(A35,B35),0)</f>
        <v>0</v>
      </c>
      <c r="D20">
        <v>19</v>
      </c>
      <c r="E20" s="29">
        <f t="shared" ca="1" si="0"/>
        <v>253.99042991162935</v>
      </c>
      <c r="F20" s="29">
        <f t="shared" ca="1" si="1"/>
        <v>-230.50238567481026</v>
      </c>
      <c r="G20" s="29">
        <f ca="1">_xll.RiskUniform($L$2,$M$2)</f>
        <v>18.112599485760661</v>
      </c>
      <c r="H20" s="29">
        <f ca="1">_xll.RiskUniform($L$3,$M$3)</f>
        <v>342.99050757779474</v>
      </c>
      <c r="I20" s="2">
        <f t="shared" ca="1" si="2"/>
        <v>342.99050757779474</v>
      </c>
      <c r="O20" s="18">
        <v>217.7906850710018</v>
      </c>
      <c r="R20">
        <v>803</v>
      </c>
      <c r="S20">
        <f t="shared" si="7"/>
        <v>925</v>
      </c>
      <c r="T20" s="30">
        <f t="shared" si="3"/>
        <v>0</v>
      </c>
      <c r="U20">
        <f t="shared" si="8"/>
        <v>0</v>
      </c>
      <c r="V20">
        <f t="shared" si="4"/>
        <v>56</v>
      </c>
      <c r="Y20" s="2"/>
      <c r="Z20" s="2"/>
      <c r="AA20" s="2"/>
      <c r="AB20" s="2"/>
      <c r="AC20" s="2"/>
      <c r="AG20" s="30"/>
    </row>
    <row r="21" spans="1:33" x14ac:dyDescent="0.2">
      <c r="A21">
        <v>8</v>
      </c>
      <c r="B21">
        <f ca="1">ROUND(_xll.RiskUniform(A36,B36),0)</f>
        <v>0</v>
      </c>
      <c r="D21">
        <v>20</v>
      </c>
      <c r="E21" s="29">
        <f t="shared" ca="1" si="0"/>
        <v>-521.90787853216784</v>
      </c>
      <c r="F21" s="29">
        <f t="shared" ca="1" si="1"/>
        <v>-546.45338124044792</v>
      </c>
      <c r="G21" s="29">
        <f ca="1">_xll.RiskUniform($L$2,$M$2)</f>
        <v>230.14463274331092</v>
      </c>
      <c r="H21" s="29">
        <f ca="1">_xll.RiskUniform($L$3,$M$3)</f>
        <v>755.64484484648369</v>
      </c>
      <c r="I21" s="2">
        <f t="shared" ca="1" si="2"/>
        <v>755.64484484648369</v>
      </c>
      <c r="O21" s="18">
        <v>224.81047323463548</v>
      </c>
      <c r="R21">
        <v>804</v>
      </c>
      <c r="S21">
        <f t="shared" si="7"/>
        <v>975</v>
      </c>
      <c r="T21" s="30">
        <f t="shared" si="3"/>
        <v>0</v>
      </c>
      <c r="U21">
        <f t="shared" si="8"/>
        <v>0</v>
      </c>
      <c r="V21">
        <f t="shared" si="4"/>
        <v>56</v>
      </c>
      <c r="X21" t="s">
        <v>99</v>
      </c>
      <c r="Y21" s="2">
        <f>Y19/Y17</f>
        <v>115.823001246282</v>
      </c>
      <c r="Z21" s="2"/>
      <c r="AA21" s="2"/>
      <c r="AB21" s="2"/>
      <c r="AC21" s="2"/>
      <c r="AG21" s="30"/>
    </row>
    <row r="22" spans="1:33" x14ac:dyDescent="0.2">
      <c r="A22">
        <v>9</v>
      </c>
      <c r="B22">
        <f ca="1">ROUND(_xll.RiskUniform(A37,B37),0)</f>
        <v>0</v>
      </c>
      <c r="D22">
        <v>21</v>
      </c>
      <c r="E22" s="29">
        <f t="shared" ca="1" si="0"/>
        <v>89.485404481584652</v>
      </c>
      <c r="F22" s="29">
        <f t="shared" ca="1" si="1"/>
        <v>-788.36744941649158</v>
      </c>
      <c r="G22" s="29">
        <f ca="1">_xll.RiskUniform($L$2,$M$2)</f>
        <v>55.090894929045064</v>
      </c>
      <c r="H22" s="29">
        <f ca="1">_xll.RiskUniform($L$3,$M$3)</f>
        <v>793.42981599804853</v>
      </c>
      <c r="I22" s="2">
        <f t="shared" ca="1" si="2"/>
        <v>793.42981599804864</v>
      </c>
      <c r="O22" s="18">
        <v>231.77105727777408</v>
      </c>
      <c r="T22" s="30"/>
      <c r="X22" t="s">
        <v>100</v>
      </c>
      <c r="Y22" s="2">
        <f>Y19/Y13</f>
        <v>148.420550899266</v>
      </c>
      <c r="Z22" s="2"/>
      <c r="AA22" s="2"/>
      <c r="AB22" s="2"/>
      <c r="AC22" s="2"/>
      <c r="AG22" s="30"/>
    </row>
    <row r="23" spans="1:33" x14ac:dyDescent="0.2">
      <c r="D23">
        <v>22</v>
      </c>
      <c r="E23" s="29">
        <f t="shared" ca="1" si="0"/>
        <v>5.6777656331731263</v>
      </c>
      <c r="F23" s="29">
        <f t="shared" ca="1" si="1"/>
        <v>16.420558272221133</v>
      </c>
      <c r="G23" s="29">
        <f ca="1">_xll.RiskUniform($L$2,$M$2)</f>
        <v>258.84849084649187</v>
      </c>
      <c r="H23" s="29">
        <f ca="1">_xll.RiskUniform($L$3,$M$3)</f>
        <v>17.374457014728595</v>
      </c>
      <c r="I23" s="2">
        <f t="shared" ca="1" si="2"/>
        <v>17.374457014728595</v>
      </c>
      <c r="O23" s="18">
        <v>236.85958310112073</v>
      </c>
      <c r="T23" s="30"/>
      <c r="AG23" s="30"/>
    </row>
    <row r="24" spans="1:33" x14ac:dyDescent="0.2">
      <c r="D24">
        <v>23</v>
      </c>
      <c r="E24" s="29">
        <f t="shared" ca="1" si="0"/>
        <v>-61.117055264945257</v>
      </c>
      <c r="F24" s="29">
        <f t="shared" ca="1" si="1"/>
        <v>-116.55126646105182</v>
      </c>
      <c r="G24" s="29">
        <f ca="1">_xll.RiskUniform($L$2,$M$2)</f>
        <v>117.32676432674694</v>
      </c>
      <c r="H24" s="29">
        <f ca="1">_xll.RiskUniform($L$3,$M$3)</f>
        <v>131.60354158583073</v>
      </c>
      <c r="I24" s="2">
        <f t="shared" ca="1" si="2"/>
        <v>131.60354158583073</v>
      </c>
      <c r="O24" s="18">
        <v>246.06330491696824</v>
      </c>
      <c r="T24" s="30"/>
      <c r="Y24" s="2">
        <f>AVERAGE(Y21:Y22)</f>
        <v>132.121776072774</v>
      </c>
      <c r="AG24" s="30"/>
    </row>
    <row r="25" spans="1:33" x14ac:dyDescent="0.2">
      <c r="D25">
        <v>24</v>
      </c>
      <c r="E25" s="29">
        <f t="shared" ca="1" si="0"/>
        <v>-408.66135292208008</v>
      </c>
      <c r="F25" s="29">
        <f t="shared" ca="1" si="1"/>
        <v>-540.80028764969188</v>
      </c>
      <c r="G25" s="29">
        <f ca="1">_xll.RiskUniform($L$2,$M$2)</f>
        <v>66.897128129477991</v>
      </c>
      <c r="H25" s="29">
        <f ca="1">_xll.RiskUniform($L$3,$M$3)</f>
        <v>677.84146560541308</v>
      </c>
      <c r="I25" s="2">
        <f t="shared" ca="1" si="2"/>
        <v>677.84146560541308</v>
      </c>
      <c r="O25" s="18">
        <v>250.41743571671324</v>
      </c>
      <c r="T25" s="30"/>
      <c r="AG25" s="30"/>
    </row>
    <row r="26" spans="1:33" x14ac:dyDescent="0.2">
      <c r="D26">
        <v>25</v>
      </c>
      <c r="E26" s="29">
        <f t="shared" ca="1" si="0"/>
        <v>16.800239259149507</v>
      </c>
      <c r="F26" s="29">
        <f t="shared" ca="1" si="1"/>
        <v>-35.131572631205259</v>
      </c>
      <c r="G26" s="29">
        <f ca="1">_xll.RiskUniform($L$2,$M$2)</f>
        <v>86.839861424787742</v>
      </c>
      <c r="H26" s="29">
        <f ca="1">_xll.RiskUniform($L$3,$M$3)</f>
        <v>38.941949549378222</v>
      </c>
      <c r="I26" s="2">
        <f t="shared" ca="1" si="2"/>
        <v>38.941949549378222</v>
      </c>
      <c r="O26" s="18">
        <v>255.93123845319116</v>
      </c>
      <c r="T26" s="30"/>
      <c r="AG26" s="30"/>
    </row>
    <row r="27" spans="1:33" x14ac:dyDescent="0.2">
      <c r="D27">
        <v>26</v>
      </c>
      <c r="E27" s="29">
        <f t="shared" ca="1" si="0"/>
        <v>-12.076159812189957</v>
      </c>
      <c r="F27" s="29">
        <f t="shared" ca="1" si="1"/>
        <v>-23.602152448669663</v>
      </c>
      <c r="G27" s="29">
        <f ca="1">_xll.RiskUniform($L$2,$M$2)</f>
        <v>356.09783808983627</v>
      </c>
      <c r="H27" s="29">
        <f ca="1">_xll.RiskUniform($L$3,$M$3)</f>
        <v>26.512171469342061</v>
      </c>
      <c r="I27" s="2">
        <f t="shared" ca="1" si="2"/>
        <v>26.512171469342061</v>
      </c>
      <c r="O27" s="18">
        <v>258.11777465709349</v>
      </c>
      <c r="T27" s="30"/>
      <c r="AG27" s="30"/>
    </row>
    <row r="28" spans="1:33" x14ac:dyDescent="0.2">
      <c r="D28">
        <v>27</v>
      </c>
      <c r="E28" s="29">
        <f t="shared" ca="1" si="0"/>
        <v>191.34335566711346</v>
      </c>
      <c r="F28" s="29">
        <f t="shared" ca="1" si="1"/>
        <v>459.51978161937802</v>
      </c>
      <c r="G28" s="29">
        <f ca="1">_xll.RiskUniform($L$2,$M$2)</f>
        <v>195.9549782338411</v>
      </c>
      <c r="H28" s="29">
        <f ca="1">_xll.RiskUniform($L$3,$M$3)</f>
        <v>497.76571743890952</v>
      </c>
      <c r="I28" s="2">
        <f t="shared" ca="1" si="2"/>
        <v>497.76571743890958</v>
      </c>
      <c r="O28" s="18">
        <v>279.25475503011467</v>
      </c>
      <c r="T28" s="30"/>
      <c r="AG28" s="30"/>
    </row>
    <row r="29" spans="1:33" x14ac:dyDescent="0.2">
      <c r="D29">
        <v>28</v>
      </c>
      <c r="E29" s="29">
        <f t="shared" ca="1" si="0"/>
        <v>-243.20711450432404</v>
      </c>
      <c r="F29" s="29">
        <f t="shared" ca="1" si="1"/>
        <v>-649.50789114885799</v>
      </c>
      <c r="G29" s="29">
        <f ca="1">_xll.RiskUniform($L$2,$M$2)</f>
        <v>48.336399245358685</v>
      </c>
      <c r="H29" s="29">
        <f ca="1">_xll.RiskUniform($L$3,$M$3)</f>
        <v>693.54898976940058</v>
      </c>
      <c r="I29" s="2">
        <f t="shared" ca="1" si="2"/>
        <v>693.54898976940069</v>
      </c>
      <c r="O29" s="18">
        <v>316.27717455284676</v>
      </c>
      <c r="T29" s="30"/>
      <c r="AG29" s="30"/>
    </row>
    <row r="30" spans="1:33" x14ac:dyDescent="0.2">
      <c r="D30">
        <v>29</v>
      </c>
      <c r="E30" s="29">
        <f t="shared" ca="1" si="0"/>
        <v>221.41360983045621</v>
      </c>
      <c r="F30" s="29">
        <f t="shared" ca="1" si="1"/>
        <v>493.98860386264118</v>
      </c>
      <c r="G30" s="29">
        <f ca="1">_xll.RiskUniform($L$2,$M$2)</f>
        <v>277.60958045926952</v>
      </c>
      <c r="H30" s="29">
        <f ca="1">_xll.RiskUniform($L$3,$M$3)</f>
        <v>541.33975224835922</v>
      </c>
      <c r="I30" s="2">
        <f t="shared" ca="1" si="2"/>
        <v>541.33975224835922</v>
      </c>
      <c r="O30" s="18">
        <v>318.1940369733901</v>
      </c>
    </row>
    <row r="31" spans="1:33" x14ac:dyDescent="0.2">
      <c r="D31">
        <v>30</v>
      </c>
      <c r="E31" s="29">
        <f t="shared" ca="1" si="0"/>
        <v>257.21965573842704</v>
      </c>
      <c r="F31" s="29">
        <f t="shared" ca="1" si="1"/>
        <v>-306.34317493568727</v>
      </c>
      <c r="G31" s="29">
        <f ca="1">_xll.RiskUniform($L$2,$M$2)</f>
        <v>256.73825318722055</v>
      </c>
      <c r="H31" s="29">
        <f ca="1">_xll.RiskUniform($L$3,$M$3)</f>
        <v>400.01011503194769</v>
      </c>
      <c r="I31" s="2">
        <f t="shared" ca="1" si="2"/>
        <v>400.01011503194769</v>
      </c>
      <c r="O31" s="18">
        <v>318.2133781516095</v>
      </c>
    </row>
    <row r="32" spans="1:33" x14ac:dyDescent="0.2">
      <c r="D32">
        <v>31</v>
      </c>
      <c r="E32" s="29">
        <f t="shared" ca="1" si="0"/>
        <v>-134.96990030323488</v>
      </c>
      <c r="F32" s="29">
        <f t="shared" ca="1" si="1"/>
        <v>111.73954397326642</v>
      </c>
      <c r="G32" s="29">
        <f ca="1">_xll.RiskUniform($L$2,$M$2)</f>
        <v>33.866005003306853</v>
      </c>
      <c r="H32" s="29">
        <f ca="1">_xll.RiskUniform($L$3,$M$3)</f>
        <v>175.22157308738758</v>
      </c>
      <c r="I32" s="2">
        <f t="shared" ca="1" si="2"/>
        <v>175.22157308738755</v>
      </c>
      <c r="O32" s="18">
        <v>325.79152551883442</v>
      </c>
    </row>
    <row r="33" spans="4:15" x14ac:dyDescent="0.2">
      <c r="D33">
        <v>32</v>
      </c>
      <c r="E33" s="29">
        <f t="shared" ca="1" si="0"/>
        <v>-450.43208023823695</v>
      </c>
      <c r="F33" s="29">
        <f t="shared" ca="1" si="1"/>
        <v>-95.735807366259408</v>
      </c>
      <c r="G33" s="29">
        <f ca="1">_xll.RiskUniform($L$2,$M$2)</f>
        <v>279.811171900776</v>
      </c>
      <c r="H33" s="29">
        <f ca="1">_xll.RiskUniform($L$3,$M$3)</f>
        <v>460.49365220360539</v>
      </c>
      <c r="I33" s="2">
        <f t="shared" ca="1" si="2"/>
        <v>460.49365220360534</v>
      </c>
      <c r="O33" s="18">
        <v>337.81984585606074</v>
      </c>
    </row>
    <row r="34" spans="4:15" x14ac:dyDescent="0.2">
      <c r="D34">
        <v>33</v>
      </c>
      <c r="E34" s="29">
        <f t="shared" ca="1" si="0"/>
        <v>-383.42981246171837</v>
      </c>
      <c r="F34" s="29">
        <f t="shared" ca="1" si="1"/>
        <v>182.88422406977946</v>
      </c>
      <c r="G34" s="29">
        <f ca="1">_xll.RiskUniform($L$2,$M$2)</f>
        <v>228.89120988383743</v>
      </c>
      <c r="H34" s="29">
        <f ca="1">_xll.RiskUniform($L$3,$M$3)</f>
        <v>424.81179420778068</v>
      </c>
      <c r="I34" s="2">
        <f t="shared" ca="1" si="2"/>
        <v>424.81179420778068</v>
      </c>
      <c r="O34" s="18">
        <v>344.25732420514595</v>
      </c>
    </row>
    <row r="35" spans="4:15" x14ac:dyDescent="0.2">
      <c r="D35">
        <v>34</v>
      </c>
      <c r="E35" s="29">
        <f t="shared" ca="1" si="0"/>
        <v>-445.56870567460049</v>
      </c>
      <c r="F35" s="29">
        <f t="shared" ca="1" si="1"/>
        <v>556.74052050775458</v>
      </c>
      <c r="G35" s="29">
        <f ca="1">_xll.RiskUniform($L$2,$M$2)</f>
        <v>222.15721606688501</v>
      </c>
      <c r="H35" s="29">
        <f ca="1">_xll.RiskUniform($L$3,$M$3)</f>
        <v>713.08588448502064</v>
      </c>
      <c r="I35" s="2">
        <f t="shared" ca="1" si="2"/>
        <v>713.08588448502064</v>
      </c>
      <c r="O35" s="18">
        <v>351.85690781101755</v>
      </c>
    </row>
    <row r="36" spans="4:15" x14ac:dyDescent="0.2">
      <c r="D36">
        <v>35</v>
      </c>
      <c r="E36" s="29">
        <f t="shared" ca="1" si="0"/>
        <v>211.9987011276323</v>
      </c>
      <c r="F36" s="29">
        <f t="shared" ca="1" si="1"/>
        <v>-193.86614782610951</v>
      </c>
      <c r="G36" s="29">
        <f ca="1">_xll.RiskUniform($L$2,$M$2)</f>
        <v>288.28577261151821</v>
      </c>
      <c r="H36" s="29">
        <f ca="1">_xll.RiskUniform($L$3,$M$3)</f>
        <v>287.27605635127009</v>
      </c>
      <c r="I36" s="2">
        <f t="shared" ca="1" si="2"/>
        <v>287.27605635127009</v>
      </c>
      <c r="O36" s="18">
        <v>361.47949196905688</v>
      </c>
    </row>
    <row r="37" spans="4:15" x14ac:dyDescent="0.2">
      <c r="D37">
        <v>36</v>
      </c>
      <c r="E37" s="29">
        <f t="shared" ca="1" si="0"/>
        <v>-81.830871699661159</v>
      </c>
      <c r="F37" s="29">
        <f t="shared" ca="1" si="1"/>
        <v>23.746760400796354</v>
      </c>
      <c r="G37" s="29">
        <f ca="1">_xll.RiskUniform($L$2,$M$2)</f>
        <v>128.52286319592531</v>
      </c>
      <c r="H37" s="29">
        <f ca="1">_xll.RiskUniform($L$3,$M$3)</f>
        <v>85.206808370336432</v>
      </c>
      <c r="I37" s="2">
        <f t="shared" ca="1" si="2"/>
        <v>85.206808370336432</v>
      </c>
      <c r="O37" s="18">
        <v>368.9258975869194</v>
      </c>
    </row>
    <row r="38" spans="4:15" x14ac:dyDescent="0.2">
      <c r="D38">
        <v>37</v>
      </c>
      <c r="E38" s="29">
        <f t="shared" ca="1" si="0"/>
        <v>-479.23231714815847</v>
      </c>
      <c r="F38" s="29">
        <f t="shared" ca="1" si="1"/>
        <v>-590.2438803197939</v>
      </c>
      <c r="G38" s="29">
        <f ca="1">_xll.RiskUniform($L$2,$M$2)</f>
        <v>305.62331509641774</v>
      </c>
      <c r="H38" s="29">
        <f ca="1">_xll.RiskUniform($L$3,$M$3)</f>
        <v>760.2969499177018</v>
      </c>
      <c r="I38" s="2">
        <f t="shared" ca="1" si="2"/>
        <v>760.2969499177018</v>
      </c>
      <c r="O38" s="18">
        <v>376.29554343866749</v>
      </c>
    </row>
    <row r="39" spans="4:15" x14ac:dyDescent="0.2">
      <c r="D39">
        <v>38</v>
      </c>
      <c r="E39" s="29">
        <f t="shared" ca="1" si="0"/>
        <v>-458.04048690111881</v>
      </c>
      <c r="F39" s="29">
        <f t="shared" ca="1" si="1"/>
        <v>77.758676608787809</v>
      </c>
      <c r="G39" s="29">
        <f ca="1">_xll.RiskUniform($L$2,$M$2)</f>
        <v>197.75217662959818</v>
      </c>
      <c r="H39" s="29">
        <f ca="1">_xll.RiskUniform($L$3,$M$3)</f>
        <v>464.59390808378453</v>
      </c>
      <c r="I39" s="2">
        <f t="shared" ca="1" si="2"/>
        <v>464.59390808378453</v>
      </c>
      <c r="O39" s="18">
        <v>400.64262821621952</v>
      </c>
    </row>
    <row r="40" spans="4:15" x14ac:dyDescent="0.2">
      <c r="D40">
        <v>39</v>
      </c>
      <c r="E40" s="29">
        <f t="shared" ca="1" si="0"/>
        <v>217.5359147896277</v>
      </c>
      <c r="F40" s="29">
        <f t="shared" ca="1" si="1"/>
        <v>419.87794766675546</v>
      </c>
      <c r="G40" s="29">
        <f ca="1">_xll.RiskUniform($L$2,$M$2)</f>
        <v>170.73878243459299</v>
      </c>
      <c r="H40" s="29">
        <f ca="1">_xll.RiskUniform($L$3,$M$3)</f>
        <v>472.88409273331115</v>
      </c>
      <c r="I40" s="2">
        <f t="shared" ca="1" si="2"/>
        <v>472.88409273331115</v>
      </c>
      <c r="O40" s="18">
        <v>406.75377521825885</v>
      </c>
    </row>
    <row r="41" spans="4:15" x14ac:dyDescent="0.2">
      <c r="D41">
        <v>40</v>
      </c>
      <c r="E41" s="29">
        <f t="shared" ca="1" si="0"/>
        <v>-156.27349186667649</v>
      </c>
      <c r="F41" s="29">
        <f t="shared" ca="1" si="1"/>
        <v>250.52284946918184</v>
      </c>
      <c r="G41" s="29">
        <f ca="1">_xll.RiskUniform($L$2,$M$2)</f>
        <v>203.19045443687358</v>
      </c>
      <c r="H41" s="29">
        <f ca="1">_xll.RiskUniform($L$3,$M$3)</f>
        <v>295.26784851446752</v>
      </c>
      <c r="I41" s="2">
        <f t="shared" ca="1" si="2"/>
        <v>295.26784851446752</v>
      </c>
      <c r="O41" s="18">
        <v>459.82860408269204</v>
      </c>
    </row>
    <row r="42" spans="4:15" x14ac:dyDescent="0.2">
      <c r="D42">
        <v>41</v>
      </c>
      <c r="E42" s="29">
        <f t="shared" ca="1" si="0"/>
        <v>-322.40553323213089</v>
      </c>
      <c r="F42" s="29">
        <f t="shared" ca="1" si="1"/>
        <v>487.88151803299775</v>
      </c>
      <c r="G42" s="29">
        <f ca="1">_xll.RiskUniform($L$2,$M$2)</f>
        <v>341.44675212963568</v>
      </c>
      <c r="H42" s="29">
        <f ca="1">_xll.RiskUniform($L$3,$M$3)</f>
        <v>584.78517722055585</v>
      </c>
      <c r="I42" s="2">
        <f t="shared" ca="1" si="2"/>
        <v>584.78517722055597</v>
      </c>
      <c r="O42" s="18">
        <v>461.83919604159564</v>
      </c>
    </row>
    <row r="43" spans="4:15" x14ac:dyDescent="0.2">
      <c r="D43">
        <v>42</v>
      </c>
      <c r="E43" s="29">
        <f t="shared" ca="1" si="0"/>
        <v>-63.569205767900662</v>
      </c>
      <c r="F43" s="29">
        <f t="shared" ca="1" si="1"/>
        <v>443.5654862950974</v>
      </c>
      <c r="G43" s="29">
        <f ca="1">_xll.RiskUniform($L$2,$M$2)</f>
        <v>347.28833310383538</v>
      </c>
      <c r="H43" s="29">
        <f ca="1">_xll.RiskUniform($L$3,$M$3)</f>
        <v>448.09751679089669</v>
      </c>
      <c r="I43" s="2">
        <f t="shared" ca="1" si="2"/>
        <v>448.09751679089669</v>
      </c>
      <c r="O43" s="18">
        <v>465.34721775248966</v>
      </c>
    </row>
    <row r="44" spans="4:15" x14ac:dyDescent="0.2">
      <c r="D44">
        <v>43</v>
      </c>
      <c r="E44" s="29">
        <f t="shared" ca="1" si="0"/>
        <v>25.520895861233729</v>
      </c>
      <c r="F44" s="29">
        <f t="shared" ca="1" si="1"/>
        <v>93.626275784368474</v>
      </c>
      <c r="G44" s="29">
        <f ca="1">_xll.RiskUniform($L$2,$M$2)</f>
        <v>82.986087911176426</v>
      </c>
      <c r="H44" s="29">
        <f ca="1">_xll.RiskUniform($L$3,$M$3)</f>
        <v>97.042236386073455</v>
      </c>
      <c r="I44" s="2">
        <f t="shared" ca="1" si="2"/>
        <v>97.042236386073469</v>
      </c>
      <c r="O44" s="18">
        <v>477.01048610157147</v>
      </c>
    </row>
    <row r="45" spans="4:15" x14ac:dyDescent="0.2">
      <c r="D45">
        <v>44</v>
      </c>
      <c r="E45" s="29">
        <f t="shared" ca="1" si="0"/>
        <v>-30.432997005721568</v>
      </c>
      <c r="F45" s="29">
        <f t="shared" ca="1" si="1"/>
        <v>-41.642858990033247</v>
      </c>
      <c r="G45" s="29">
        <f ca="1">_xll.RiskUniform($L$2,$M$2)</f>
        <v>142.31136009988313</v>
      </c>
      <c r="H45" s="29">
        <f ca="1">_xll.RiskUniform($L$3,$M$3)</f>
        <v>51.57804776854249</v>
      </c>
      <c r="I45" s="2">
        <f t="shared" ca="1" si="2"/>
        <v>51.57804776854249</v>
      </c>
      <c r="O45" s="18">
        <v>492.50754520488147</v>
      </c>
    </row>
    <row r="46" spans="4:15" x14ac:dyDescent="0.2">
      <c r="D46">
        <v>45</v>
      </c>
      <c r="E46" s="29">
        <f t="shared" ca="1" si="0"/>
        <v>-60.782058929784732</v>
      </c>
      <c r="F46" s="29">
        <f t="shared" ca="1" si="1"/>
        <v>107.23862129562352</v>
      </c>
      <c r="G46" s="29">
        <f ca="1">_xll.RiskUniform($L$2,$M$2)</f>
        <v>234.56429703227977</v>
      </c>
      <c r="H46" s="29">
        <f ca="1">_xll.RiskUniform($L$3,$M$3)</f>
        <v>123.26629947041479</v>
      </c>
      <c r="I46" s="2">
        <f t="shared" ca="1" si="2"/>
        <v>123.26629947041479</v>
      </c>
      <c r="O46" s="18">
        <v>511.70703951443903</v>
      </c>
    </row>
    <row r="47" spans="4:15" x14ac:dyDescent="0.2">
      <c r="D47">
        <v>46</v>
      </c>
      <c r="E47" s="29">
        <f t="shared" ca="1" si="0"/>
        <v>-162.47496396006804</v>
      </c>
      <c r="F47" s="29">
        <f t="shared" ca="1" si="1"/>
        <v>133.47460935421611</v>
      </c>
      <c r="G47" s="29">
        <f ca="1">_xll.RiskUniform($L$2,$M$2)</f>
        <v>121.83439434309309</v>
      </c>
      <c r="H47" s="29">
        <f ca="1">_xll.RiskUniform($L$3,$M$3)</f>
        <v>210.2702671708152</v>
      </c>
      <c r="I47" s="2">
        <f t="shared" ca="1" si="2"/>
        <v>210.2702671708152</v>
      </c>
      <c r="O47" s="18">
        <v>517.21603988244931</v>
      </c>
    </row>
    <row r="48" spans="4:15" x14ac:dyDescent="0.2">
      <c r="D48">
        <v>47</v>
      </c>
      <c r="E48" s="29">
        <f t="shared" ca="1" si="0"/>
        <v>-27.349592702506907</v>
      </c>
      <c r="F48" s="29">
        <f t="shared" ca="1" si="1"/>
        <v>-743.76769561807748</v>
      </c>
      <c r="G48" s="29">
        <f ca="1">_xll.RiskUniform($L$2,$M$2)</f>
        <v>111.48978407597257</v>
      </c>
      <c r="H48" s="29">
        <f ca="1">_xll.RiskUniform($L$3,$M$3)</f>
        <v>744.27037107896365</v>
      </c>
      <c r="I48" s="2">
        <f t="shared" ca="1" si="2"/>
        <v>744.27037107896365</v>
      </c>
      <c r="O48" s="18">
        <v>603.5485873009211</v>
      </c>
    </row>
    <row r="49" spans="4:15" x14ac:dyDescent="0.2">
      <c r="D49">
        <v>48</v>
      </c>
      <c r="E49" s="29">
        <f t="shared" ca="1" si="0"/>
        <v>66.195270273660199</v>
      </c>
      <c r="F49" s="29">
        <f t="shared" ca="1" si="1"/>
        <v>-65.416863390808018</v>
      </c>
      <c r="G49" s="29">
        <f ca="1">_xll.RiskUniform($L$2,$M$2)</f>
        <v>313.37978152722525</v>
      </c>
      <c r="H49" s="29">
        <f ca="1">_xll.RiskUniform($L$3,$M$3)</f>
        <v>93.065459879025795</v>
      </c>
      <c r="I49" s="2">
        <f t="shared" ca="1" si="2"/>
        <v>93.065459879025795</v>
      </c>
      <c r="O49" s="18">
        <v>643.09923139674515</v>
      </c>
    </row>
    <row r="50" spans="4:15" x14ac:dyDescent="0.2">
      <c r="D50">
        <v>49</v>
      </c>
      <c r="E50" s="29">
        <f t="shared" ca="1" si="0"/>
        <v>2.981558756259183</v>
      </c>
      <c r="F50" s="29">
        <f t="shared" ca="1" si="1"/>
        <v>-520.09070690837234</v>
      </c>
      <c r="G50" s="29">
        <f ca="1">_xll.RiskUniform($L$2,$M$2)</f>
        <v>161.79775436390983</v>
      </c>
      <c r="H50" s="29">
        <f ca="1">_xll.RiskUniform($L$3,$M$3)</f>
        <v>520.09925312873452</v>
      </c>
      <c r="I50" s="2">
        <f t="shared" ca="1" si="2"/>
        <v>520.09925312873452</v>
      </c>
      <c r="O50" s="18">
        <v>653.75440571572699</v>
      </c>
    </row>
    <row r="51" spans="4:15" x14ac:dyDescent="0.2">
      <c r="D51">
        <v>50</v>
      </c>
      <c r="E51" s="29">
        <f t="shared" ca="1" si="0"/>
        <v>409.28759641258296</v>
      </c>
      <c r="F51" s="29">
        <f t="shared" ca="1" si="1"/>
        <v>-271.16832545478775</v>
      </c>
      <c r="G51" s="29">
        <f ca="1">_xll.RiskUniform($L$2,$M$2)</f>
        <v>225.60953265342596</v>
      </c>
      <c r="H51" s="29">
        <f ca="1">_xll.RiskUniform($L$3,$M$3)</f>
        <v>490.9670022589533</v>
      </c>
      <c r="I51" s="2">
        <f t="shared" ca="1" si="2"/>
        <v>490.96700225895336</v>
      </c>
      <c r="O51" s="18">
        <v>691.20488977937725</v>
      </c>
    </row>
    <row r="52" spans="4:15" x14ac:dyDescent="0.2">
      <c r="D52">
        <v>51</v>
      </c>
      <c r="E52" s="29">
        <f t="shared" ca="1" si="0"/>
        <v>-544.74728901717003</v>
      </c>
      <c r="F52" s="29">
        <f t="shared" ca="1" si="1"/>
        <v>-245.90094060734262</v>
      </c>
      <c r="G52" s="29">
        <f ca="1">_xll.RiskUniform($L$2,$M$2)</f>
        <v>317.72487864153732</v>
      </c>
      <c r="H52" s="29">
        <f ca="1">_xll.RiskUniform($L$3,$M$3)</f>
        <v>597.67623466483258</v>
      </c>
      <c r="I52" s="2">
        <f t="shared" ca="1" si="2"/>
        <v>597.67623466483258</v>
      </c>
      <c r="O52" s="18">
        <v>702.31020851266874</v>
      </c>
    </row>
    <row r="53" spans="4:15" x14ac:dyDescent="0.2">
      <c r="D53">
        <v>52</v>
      </c>
      <c r="E53" s="29">
        <f t="shared" ca="1" si="0"/>
        <v>-15.092318872137801</v>
      </c>
      <c r="F53" s="29">
        <f t="shared" ca="1" si="1"/>
        <v>-43.503533338237716</v>
      </c>
      <c r="G53" s="29">
        <f ca="1">_xll.RiskUniform($L$2,$M$2)</f>
        <v>98.626238775159123</v>
      </c>
      <c r="H53" s="29">
        <f ca="1">_xll.RiskUniform($L$3,$M$3)</f>
        <v>46.04710090602282</v>
      </c>
      <c r="I53" s="2">
        <f t="shared" ca="1" si="2"/>
        <v>46.047100906022813</v>
      </c>
      <c r="O53" s="18">
        <v>732.7466879667362</v>
      </c>
    </row>
    <row r="54" spans="4:15" x14ac:dyDescent="0.2">
      <c r="D54">
        <v>53</v>
      </c>
      <c r="E54" s="29">
        <f t="shared" ca="1" si="0"/>
        <v>-428.2895863658382</v>
      </c>
      <c r="F54" s="29">
        <f t="shared" ca="1" si="1"/>
        <v>-95.42363786647131</v>
      </c>
      <c r="G54" s="29">
        <f ca="1">_xll.RiskUniform($L$2,$M$2)</f>
        <v>273.53778192621434</v>
      </c>
      <c r="H54" s="29">
        <f ca="1">_xll.RiskUniform($L$3,$M$3)</f>
        <v>438.79111255025691</v>
      </c>
      <c r="I54" s="2">
        <f t="shared" ca="1" si="2"/>
        <v>438.79111255025691</v>
      </c>
      <c r="O54" s="18">
        <v>759.87297786129466</v>
      </c>
    </row>
    <row r="55" spans="4:15" x14ac:dyDescent="0.2">
      <c r="D55">
        <v>54</v>
      </c>
      <c r="E55" s="29">
        <f t="shared" ca="1" si="0"/>
        <v>-35.691743747127241</v>
      </c>
      <c r="F55" s="29">
        <f t="shared" ca="1" si="1"/>
        <v>-157.81389648960359</v>
      </c>
      <c r="G55" s="29">
        <f ca="1">_xll.RiskUniform($L$2,$M$2)</f>
        <v>155.28641474719748</v>
      </c>
      <c r="H55" s="29">
        <f ca="1">_xll.RiskUniform($L$3,$M$3)</f>
        <v>161.79964924851325</v>
      </c>
      <c r="I55" s="2">
        <f t="shared" ca="1" si="2"/>
        <v>161.79964924851325</v>
      </c>
      <c r="O55" s="18">
        <v>770.95289299813612</v>
      </c>
    </row>
    <row r="56" spans="4:15" x14ac:dyDescent="0.2">
      <c r="D56">
        <v>55</v>
      </c>
      <c r="E56" s="29">
        <f t="shared" ca="1" si="0"/>
        <v>370.11617187591202</v>
      </c>
      <c r="F56" s="29">
        <f t="shared" ca="1" si="1"/>
        <v>-75.694707051893175</v>
      </c>
      <c r="G56" s="29">
        <f ca="1">_xll.RiskUniform($L$2,$M$2)</f>
        <v>144.31152791993418</v>
      </c>
      <c r="H56" s="29">
        <f ca="1">_xll.RiskUniform($L$3,$M$3)</f>
        <v>377.77727480587231</v>
      </c>
      <c r="I56" s="2">
        <f t="shared" ca="1" si="2"/>
        <v>377.77727480587231</v>
      </c>
      <c r="O56" s="18">
        <v>788.38125432526022</v>
      </c>
    </row>
    <row r="57" spans="4:15" x14ac:dyDescent="0.2">
      <c r="D57">
        <v>56</v>
      </c>
      <c r="E57" s="29">
        <f t="shared" ca="1" si="0"/>
        <v>313.60952043153014</v>
      </c>
      <c r="F57" s="29">
        <f t="shared" ca="1" si="1"/>
        <v>402.08569195232411</v>
      </c>
      <c r="G57" s="29">
        <f ca="1">_xll.RiskUniform($L$2,$M$2)</f>
        <v>170.55440010779301</v>
      </c>
      <c r="H57" s="29">
        <f ca="1">_xll.RiskUniform($L$3,$M$3)</f>
        <v>509.92532294255949</v>
      </c>
      <c r="I57" s="2">
        <f t="shared" ca="1" si="2"/>
        <v>509.92532294255949</v>
      </c>
      <c r="O57" s="18">
        <v>788.46283699618255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B3A9-EE31-4887-B2FE-E9A45BBED531}">
  <dimension ref="A1:AI57"/>
  <sheetViews>
    <sheetView workbookViewId="0"/>
  </sheetViews>
  <sheetFormatPr defaultRowHeight="12.75" x14ac:dyDescent="0.2"/>
  <cols>
    <col min="1" max="1" width="10.5703125" bestFit="1" customWidth="1"/>
    <col min="4" max="4" width="8.85546875" bestFit="1" customWidth="1"/>
    <col min="5" max="6" width="7.7109375" bestFit="1" customWidth="1"/>
    <col min="7" max="7" width="6.7109375" bestFit="1" customWidth="1"/>
    <col min="8" max="8" width="9.28515625" bestFit="1" customWidth="1"/>
    <col min="9" max="9" width="11.42578125" style="2" bestFit="1" customWidth="1"/>
    <col min="10" max="13" width="7.42578125" customWidth="1"/>
    <col min="14" max="14" width="8.42578125" style="18" bestFit="1" customWidth="1"/>
    <col min="15" max="15" width="13.140625" style="18" bestFit="1" customWidth="1"/>
    <col min="17" max="17" width="8.140625" bestFit="1" customWidth="1"/>
    <col min="18" max="18" width="4.7109375" bestFit="1" customWidth="1"/>
    <col min="19" max="19" width="7.140625" bestFit="1" customWidth="1"/>
    <col min="20" max="20" width="7" bestFit="1" customWidth="1"/>
    <col min="21" max="21" width="4.7109375" bestFit="1" customWidth="1"/>
    <col min="22" max="22" width="5.85546875" bestFit="1" customWidth="1"/>
    <col min="24" max="24" width="8" bestFit="1" customWidth="1"/>
    <col min="25" max="25" width="7.5703125" bestFit="1" customWidth="1"/>
    <col min="27" max="29" width="7.5703125" bestFit="1" customWidth="1"/>
    <col min="30" max="30" width="6.42578125" customWidth="1"/>
    <col min="31" max="31" width="4.7109375" bestFit="1" customWidth="1"/>
    <col min="32" max="32" width="7.140625" bestFit="1" customWidth="1"/>
    <col min="33" max="33" width="7" bestFit="1" customWidth="1"/>
    <col min="34" max="34" width="4.7109375" bestFit="1" customWidth="1"/>
    <col min="35" max="35" width="5.85546875" bestFit="1" customWidth="1"/>
  </cols>
  <sheetData>
    <row r="1" spans="1:35" x14ac:dyDescent="0.2">
      <c r="A1" s="1" t="s">
        <v>107</v>
      </c>
      <c r="D1" t="s">
        <v>69</v>
      </c>
      <c r="E1" s="29" t="s">
        <v>70</v>
      </c>
      <c r="F1" s="29" t="s">
        <v>71</v>
      </c>
      <c r="G1" s="29" t="s">
        <v>72</v>
      </c>
      <c r="H1" s="29" t="s">
        <v>73</v>
      </c>
      <c r="I1" s="2" t="s">
        <v>74</v>
      </c>
      <c r="O1" s="18" t="s">
        <v>74</v>
      </c>
      <c r="R1" t="s">
        <v>75</v>
      </c>
      <c r="S1" t="s">
        <v>76</v>
      </c>
      <c r="T1" s="30" t="s">
        <v>77</v>
      </c>
      <c r="U1" t="s">
        <v>78</v>
      </c>
      <c r="V1" t="s">
        <v>79</v>
      </c>
      <c r="Y1" s="2"/>
      <c r="Z1" s="2"/>
      <c r="AA1" s="2"/>
      <c r="AB1" s="2"/>
      <c r="AC1" s="2"/>
      <c r="AE1" t="s">
        <v>75</v>
      </c>
      <c r="AF1" t="s">
        <v>76</v>
      </c>
      <c r="AG1" s="30" t="s">
        <v>77</v>
      </c>
      <c r="AH1" t="s">
        <v>78</v>
      </c>
      <c r="AI1" t="s">
        <v>79</v>
      </c>
    </row>
    <row r="2" spans="1:35" x14ac:dyDescent="0.2">
      <c r="D2">
        <v>1</v>
      </c>
      <c r="E2" s="29">
        <f t="shared" ref="E2:E57" ca="1" si="0">H2*COS(G2)</f>
        <v>1303.7413921100165</v>
      </c>
      <c r="F2" s="29">
        <f t="shared" ref="F2:F57" ca="1" si="1">H2*SIN(G2)</f>
        <v>-997.98706029307414</v>
      </c>
      <c r="G2" s="29">
        <f ca="1">_xll.RiskUniform($L$2,$M$2)</f>
        <v>181.55903942345563</v>
      </c>
      <c r="H2" s="29">
        <f ca="1">_xll.RiskUniform($L$3,$M$3)</f>
        <v>1641.8647295113492</v>
      </c>
      <c r="I2" s="2">
        <f ca="1">SQRT(E2^2+F2^2)</f>
        <v>1641.8647295113492</v>
      </c>
      <c r="K2" t="s">
        <v>80</v>
      </c>
      <c r="L2">
        <v>0</v>
      </c>
      <c r="M2">
        <v>360</v>
      </c>
      <c r="O2" s="18">
        <v>57.769311320958039</v>
      </c>
      <c r="R2">
        <v>50</v>
      </c>
      <c r="S2">
        <f>25</f>
        <v>25</v>
      </c>
      <c r="T2" s="30">
        <f>U2/$V$49</f>
        <v>0</v>
      </c>
      <c r="U2">
        <f>V2</f>
        <v>0</v>
      </c>
      <c r="V2">
        <f>COUNTIF(O:O,"&lt;="&amp;R2)</f>
        <v>0</v>
      </c>
      <c r="X2" s="31" t="s">
        <v>23</v>
      </c>
      <c r="Y2" s="2">
        <f>V49</f>
        <v>56</v>
      </c>
      <c r="Z2" s="2"/>
      <c r="AA2" s="2"/>
      <c r="AB2" s="2"/>
      <c r="AC2" s="2"/>
      <c r="AE2">
        <v>350</v>
      </c>
      <c r="AF2">
        <f>AE2/2</f>
        <v>175</v>
      </c>
      <c r="AG2" s="30">
        <f>AH2/$AI$8</f>
        <v>0.25</v>
      </c>
      <c r="AH2">
        <f>AI2</f>
        <v>14</v>
      </c>
      <c r="AI2">
        <f>COUNTIF(O:O,"&lt;="&amp;AE2)</f>
        <v>14</v>
      </c>
    </row>
    <row r="3" spans="1:35" x14ac:dyDescent="0.2">
      <c r="D3">
        <v>2</v>
      </c>
      <c r="E3" s="29">
        <f t="shared" ca="1" si="0"/>
        <v>-26.258330791273615</v>
      </c>
      <c r="F3" s="29">
        <f t="shared" ca="1" si="1"/>
        <v>2273.7924875003664</v>
      </c>
      <c r="G3" s="29">
        <f ca="1">_xll.RiskUniform($L$2,$M$2)</f>
        <v>183.7947179746229</v>
      </c>
      <c r="H3" s="29">
        <f ca="1">_xll.RiskUniform($L$3,$M$3)</f>
        <v>2273.9441013685996</v>
      </c>
      <c r="I3" s="2">
        <f t="shared" ref="I3:I57" ca="1" si="2">SQRT(E3^2+F3^2)</f>
        <v>2273.9441013685996</v>
      </c>
      <c r="K3" t="s">
        <v>81</v>
      </c>
      <c r="L3">
        <v>0</v>
      </c>
      <c r="M3">
        <v>2400</v>
      </c>
      <c r="O3" s="18">
        <v>72.212421290715767</v>
      </c>
      <c r="R3">
        <v>100</v>
      </c>
      <c r="S3">
        <f>S2+50</f>
        <v>75</v>
      </c>
      <c r="T3" s="30">
        <f t="shared" ref="T3:T49" si="3">U3/$V$49</f>
        <v>7.1428571428571425E-2</v>
      </c>
      <c r="U3">
        <f>V3-V2</f>
        <v>4</v>
      </c>
      <c r="V3">
        <f t="shared" ref="V3:V49" si="4">COUNTIF(O:O,"&lt;="&amp;R3)</f>
        <v>4</v>
      </c>
      <c r="X3" s="31" t="s">
        <v>82</v>
      </c>
      <c r="Y3" s="2">
        <f>STDEV(O:O)</f>
        <v>707.39017592897778</v>
      </c>
      <c r="Z3" s="2"/>
      <c r="AA3" s="2"/>
      <c r="AB3" s="2"/>
      <c r="AC3" s="2"/>
      <c r="AE3">
        <f>AE2+$AE$2</f>
        <v>700</v>
      </c>
      <c r="AF3">
        <f>AF2+$AE$2</f>
        <v>525</v>
      </c>
      <c r="AG3" s="30">
        <f t="shared" ref="AG3:AG9" si="5">AH3/$AI$8</f>
        <v>0.10714285714285714</v>
      </c>
      <c r="AH3">
        <f>AI3-AI2</f>
        <v>6</v>
      </c>
      <c r="AI3">
        <f t="shared" ref="AI3:AI9" si="6">COUNTIF(O:O,"&lt;="&amp;AE3)</f>
        <v>20</v>
      </c>
    </row>
    <row r="4" spans="1:35" x14ac:dyDescent="0.2">
      <c r="A4">
        <f>9*150</f>
        <v>1350</v>
      </c>
      <c r="D4">
        <v>3</v>
      </c>
      <c r="E4" s="29">
        <f t="shared" ca="1" si="0"/>
        <v>1119.8457874896696</v>
      </c>
      <c r="F4" s="29">
        <f t="shared" ca="1" si="1"/>
        <v>792.50027770969007</v>
      </c>
      <c r="G4" s="29">
        <f ca="1">_xll.RiskUniform($L$2,$M$2)</f>
        <v>44.5981635489591</v>
      </c>
      <c r="H4" s="29">
        <f ca="1">_xll.RiskUniform($L$3,$M$3)</f>
        <v>1371.9006078897605</v>
      </c>
      <c r="I4" s="2">
        <f t="shared" ca="1" si="2"/>
        <v>1371.9006078897605</v>
      </c>
      <c r="O4" s="18">
        <v>79.514679856076228</v>
      </c>
      <c r="R4">
        <v>150</v>
      </c>
      <c r="S4">
        <f t="shared" ref="S4:S49" si="7">S3+50</f>
        <v>125</v>
      </c>
      <c r="T4" s="30">
        <f t="shared" si="3"/>
        <v>5.3571428571428568E-2</v>
      </c>
      <c r="U4">
        <f t="shared" ref="U4:U49" si="8">V4-V3</f>
        <v>3</v>
      </c>
      <c r="V4">
        <f t="shared" si="4"/>
        <v>7</v>
      </c>
      <c r="X4" s="31" t="s">
        <v>83</v>
      </c>
      <c r="Y4" s="2">
        <f>MAX(O:O)-MIN(O:O)</f>
        <v>2341.5438435618225</v>
      </c>
      <c r="Z4" s="2"/>
      <c r="AA4" s="2" t="s">
        <v>84</v>
      </c>
      <c r="AB4" s="2" t="s">
        <v>85</v>
      </c>
      <c r="AC4" s="2" t="s">
        <v>86</v>
      </c>
      <c r="AE4">
        <f t="shared" ref="AE4:AF9" si="9">AE3+$AE$2</f>
        <v>1050</v>
      </c>
      <c r="AF4">
        <f t="shared" si="9"/>
        <v>875</v>
      </c>
      <c r="AG4" s="30">
        <f t="shared" si="5"/>
        <v>0.19642857142857142</v>
      </c>
      <c r="AH4">
        <f t="shared" ref="AH4:AH9" si="10">AI4-AI3</f>
        <v>11</v>
      </c>
      <c r="AI4">
        <f t="shared" si="6"/>
        <v>31</v>
      </c>
    </row>
    <row r="5" spans="1:35" x14ac:dyDescent="0.2">
      <c r="A5">
        <v>0.01</v>
      </c>
      <c r="D5">
        <v>4</v>
      </c>
      <c r="E5" s="29">
        <f t="shared" ca="1" si="0"/>
        <v>-119.90114728648734</v>
      </c>
      <c r="F5" s="29">
        <f t="shared" ca="1" si="1"/>
        <v>-151.57086045418922</v>
      </c>
      <c r="G5" s="29">
        <f ca="1">_xll.RiskUniform($L$2,$M$2)</f>
        <v>343.33513168667935</v>
      </c>
      <c r="H5" s="29">
        <f ca="1">_xll.RiskUniform($L$3,$M$3)</f>
        <v>193.26150899607308</v>
      </c>
      <c r="I5" s="2">
        <f t="shared" ca="1" si="2"/>
        <v>193.26150899607308</v>
      </c>
      <c r="O5" s="18">
        <v>97.50887137532294</v>
      </c>
      <c r="R5">
        <v>200</v>
      </c>
      <c r="S5">
        <f t="shared" si="7"/>
        <v>175</v>
      </c>
      <c r="T5" s="30">
        <f t="shared" si="3"/>
        <v>0</v>
      </c>
      <c r="U5">
        <f t="shared" si="8"/>
        <v>0</v>
      </c>
      <c r="V5">
        <f t="shared" si="4"/>
        <v>7</v>
      </c>
      <c r="X5" s="31" t="s">
        <v>87</v>
      </c>
      <c r="Y5" s="2">
        <f>AC5-AC6</f>
        <v>1254.8088646596243</v>
      </c>
      <c r="Z5" s="2"/>
      <c r="AA5" s="2" cm="1">
        <f t="array" ref="AA5">INDEX($O$2:$O$57,ROUND(Y10,0))</f>
        <v>1563.179609502954</v>
      </c>
      <c r="AB5" s="2" cm="1">
        <f t="array" ref="AB5">INDEX($O$2:$O$57,ROUND(Y10,0)+1)</f>
        <v>1632.8767153731624</v>
      </c>
      <c r="AC5" s="2">
        <f>AVERAGE(AA5:AB5)</f>
        <v>1598.0281624380582</v>
      </c>
      <c r="AE5">
        <f t="shared" si="9"/>
        <v>1400</v>
      </c>
      <c r="AF5">
        <f t="shared" si="9"/>
        <v>1225</v>
      </c>
      <c r="AG5" s="30">
        <f t="shared" si="5"/>
        <v>0.10714285714285714</v>
      </c>
      <c r="AH5">
        <f t="shared" si="10"/>
        <v>6</v>
      </c>
      <c r="AI5">
        <f t="shared" si="6"/>
        <v>37</v>
      </c>
    </row>
    <row r="6" spans="1:35" x14ac:dyDescent="0.2">
      <c r="A6">
        <v>0.03</v>
      </c>
      <c r="D6">
        <v>5</v>
      </c>
      <c r="E6" s="29">
        <f t="shared" ca="1" si="0"/>
        <v>-1820.701639333653</v>
      </c>
      <c r="F6" s="29">
        <f t="shared" ca="1" si="1"/>
        <v>1477.1249803076112</v>
      </c>
      <c r="G6" s="29">
        <f ca="1">_xll.RiskUniform($L$2,$M$2)</f>
        <v>109.27415296719752</v>
      </c>
      <c r="H6" s="29">
        <f ca="1">_xll.RiskUniform($L$3,$M$3)</f>
        <v>2344.5367702215744</v>
      </c>
      <c r="I6" s="2">
        <f t="shared" ca="1" si="2"/>
        <v>2344.5367702215744</v>
      </c>
      <c r="O6" s="18">
        <v>109.19952976808415</v>
      </c>
      <c r="R6">
        <v>250</v>
      </c>
      <c r="S6">
        <f t="shared" si="7"/>
        <v>225</v>
      </c>
      <c r="T6" s="30">
        <f t="shared" si="3"/>
        <v>3.5714285714285712E-2</v>
      </c>
      <c r="U6">
        <f t="shared" si="8"/>
        <v>2</v>
      </c>
      <c r="V6">
        <f t="shared" si="4"/>
        <v>9</v>
      </c>
      <c r="Y6" s="2"/>
      <c r="Z6" s="2"/>
      <c r="AA6" s="2" cm="1">
        <f t="array" ref="AA6">INDEX($O$2:$O$57,ROUND(Y9,0))</f>
        <v>327.74577798931659</v>
      </c>
      <c r="AB6" s="2" cm="1">
        <f t="array" ref="AB6">INDEX($O$2:$O$57,ROUND(Y9,0)+1)</f>
        <v>358.69281756755106</v>
      </c>
      <c r="AC6" s="2">
        <f>AVERAGE(AA6:AB6)</f>
        <v>343.21929777843383</v>
      </c>
      <c r="AE6">
        <f t="shared" si="9"/>
        <v>1750</v>
      </c>
      <c r="AF6">
        <f t="shared" si="9"/>
        <v>1575</v>
      </c>
      <c r="AG6" s="30">
        <f t="shared" si="5"/>
        <v>0.125</v>
      </c>
      <c r="AH6">
        <f t="shared" si="10"/>
        <v>7</v>
      </c>
      <c r="AI6">
        <f t="shared" si="6"/>
        <v>44</v>
      </c>
    </row>
    <row r="7" spans="1:35" x14ac:dyDescent="0.2">
      <c r="D7">
        <v>6</v>
      </c>
      <c r="E7" s="29">
        <f t="shared" ca="1" si="0"/>
        <v>56.40301689766968</v>
      </c>
      <c r="F7" s="29">
        <f t="shared" ca="1" si="1"/>
        <v>411.07646108324548</v>
      </c>
      <c r="G7" s="29">
        <f ca="1">_xll.RiskUniform($L$2,$M$2)</f>
        <v>321.87689033324557</v>
      </c>
      <c r="H7" s="29">
        <f ca="1">_xll.RiskUniform($L$3,$M$3)</f>
        <v>414.92789394289201</v>
      </c>
      <c r="I7" s="2">
        <f t="shared" ca="1" si="2"/>
        <v>414.92789394289201</v>
      </c>
      <c r="O7" s="18">
        <v>115.10315822702653</v>
      </c>
      <c r="R7">
        <v>300</v>
      </c>
      <c r="S7">
        <f t="shared" si="7"/>
        <v>275</v>
      </c>
      <c r="T7" s="30">
        <f t="shared" si="3"/>
        <v>1.7857142857142856E-2</v>
      </c>
      <c r="U7">
        <f t="shared" si="8"/>
        <v>1</v>
      </c>
      <c r="V7">
        <f t="shared" si="4"/>
        <v>10</v>
      </c>
      <c r="Y7" s="2"/>
      <c r="Z7" s="2"/>
      <c r="AA7" s="2"/>
      <c r="AB7" s="2"/>
      <c r="AC7" s="2"/>
      <c r="AE7">
        <f t="shared" si="9"/>
        <v>2100</v>
      </c>
      <c r="AF7">
        <f t="shared" si="9"/>
        <v>1925</v>
      </c>
      <c r="AG7" s="30">
        <f t="shared" si="5"/>
        <v>0.16071428571428573</v>
      </c>
      <c r="AH7">
        <f t="shared" si="10"/>
        <v>9</v>
      </c>
      <c r="AI7">
        <f t="shared" si="6"/>
        <v>53</v>
      </c>
    </row>
    <row r="8" spans="1:35" x14ac:dyDescent="0.2">
      <c r="A8" t="s">
        <v>88</v>
      </c>
      <c r="B8">
        <v>2.4</v>
      </c>
      <c r="D8">
        <v>7</v>
      </c>
      <c r="E8" s="29">
        <f t="shared" ca="1" si="0"/>
        <v>627.9326874926694</v>
      </c>
      <c r="F8" s="29">
        <f t="shared" ca="1" si="1"/>
        <v>841.24034810192666</v>
      </c>
      <c r="G8" s="29">
        <f ca="1">_xll.RiskUniform($L$2,$M$2)</f>
        <v>0.92957961940752121</v>
      </c>
      <c r="H8" s="29">
        <f ca="1">_xll.RiskUniform($L$3,$M$3)</f>
        <v>1049.7546300428578</v>
      </c>
      <c r="I8" s="2">
        <f t="shared" ca="1" si="2"/>
        <v>1049.7546300428578</v>
      </c>
      <c r="O8" s="18">
        <v>124.31467115261574</v>
      </c>
      <c r="R8">
        <v>350</v>
      </c>
      <c r="S8">
        <f t="shared" si="7"/>
        <v>325</v>
      </c>
      <c r="T8" s="30">
        <f t="shared" si="3"/>
        <v>7.1428571428571425E-2</v>
      </c>
      <c r="U8">
        <f t="shared" si="8"/>
        <v>4</v>
      </c>
      <c r="V8">
        <f t="shared" si="4"/>
        <v>14</v>
      </c>
      <c r="Y8" s="2"/>
      <c r="Z8" s="2"/>
      <c r="AA8" s="2"/>
      <c r="AB8" s="2"/>
      <c r="AC8" s="2"/>
      <c r="AE8">
        <f t="shared" si="9"/>
        <v>2450</v>
      </c>
      <c r="AF8">
        <f t="shared" si="9"/>
        <v>2275</v>
      </c>
      <c r="AG8" s="30">
        <f t="shared" si="5"/>
        <v>5.3571428571428568E-2</v>
      </c>
      <c r="AH8">
        <f t="shared" si="10"/>
        <v>3</v>
      </c>
      <c r="AI8">
        <f t="shared" si="6"/>
        <v>56</v>
      </c>
    </row>
    <row r="9" spans="1:35" x14ac:dyDescent="0.2">
      <c r="B9" s="2"/>
      <c r="D9">
        <v>8</v>
      </c>
      <c r="E9" s="29">
        <f t="shared" ca="1" si="0"/>
        <v>634.13902232189059</v>
      </c>
      <c r="F9" s="29">
        <f t="shared" ca="1" si="1"/>
        <v>685.13900698605232</v>
      </c>
      <c r="G9" s="29">
        <f ca="1">_xll.RiskUniform($L$2,$M$2)</f>
        <v>340.11604300736911</v>
      </c>
      <c r="H9" s="29">
        <f ca="1">_xll.RiskUniform($L$3,$M$3)</f>
        <v>933.56722228514275</v>
      </c>
      <c r="I9" s="2">
        <f t="shared" ca="1" si="2"/>
        <v>933.56722228514275</v>
      </c>
      <c r="O9" s="18">
        <v>231.62029417302747</v>
      </c>
      <c r="R9">
        <v>400</v>
      </c>
      <c r="S9">
        <f t="shared" si="7"/>
        <v>375</v>
      </c>
      <c r="T9" s="30">
        <f t="shared" si="3"/>
        <v>3.5714285714285712E-2</v>
      </c>
      <c r="U9">
        <f t="shared" si="8"/>
        <v>2</v>
      </c>
      <c r="V9">
        <f t="shared" si="4"/>
        <v>16</v>
      </c>
      <c r="X9" t="s">
        <v>89</v>
      </c>
      <c r="Y9" s="2">
        <f>Y2/4</f>
        <v>14</v>
      </c>
      <c r="Z9" s="2"/>
      <c r="AA9" s="2"/>
      <c r="AB9" s="2"/>
      <c r="AC9" s="2"/>
      <c r="AE9">
        <f t="shared" si="9"/>
        <v>2800</v>
      </c>
      <c r="AF9">
        <f t="shared" si="9"/>
        <v>2625</v>
      </c>
      <c r="AG9" s="30">
        <f t="shared" si="5"/>
        <v>0</v>
      </c>
      <c r="AH9">
        <f t="shared" si="10"/>
        <v>0</v>
      </c>
      <c r="AI9">
        <f t="shared" si="6"/>
        <v>56</v>
      </c>
    </row>
    <row r="10" spans="1:35" x14ac:dyDescent="0.2">
      <c r="D10">
        <v>9</v>
      </c>
      <c r="E10" s="29">
        <f t="shared" ca="1" si="0"/>
        <v>35.918483927445543</v>
      </c>
      <c r="F10" s="29">
        <f t="shared" ca="1" si="1"/>
        <v>92.711420548555949</v>
      </c>
      <c r="G10" s="29">
        <f ca="1">_xll.RiskUniform($L$2,$M$2)</f>
        <v>7.4843647891102272</v>
      </c>
      <c r="H10" s="29">
        <f ca="1">_xll.RiskUniform($L$3,$M$3)</f>
        <v>99.426078006614375</v>
      </c>
      <c r="I10" s="2">
        <f t="shared" ca="1" si="2"/>
        <v>99.426078006614375</v>
      </c>
      <c r="K10" t="s">
        <v>90</v>
      </c>
      <c r="L10" s="2">
        <f ca="1">AVERAGE(I:I)</f>
        <v>1209.2840773297551</v>
      </c>
      <c r="O10" s="18">
        <v>246.78829059757498</v>
      </c>
      <c r="R10">
        <v>450</v>
      </c>
      <c r="S10">
        <f t="shared" si="7"/>
        <v>425</v>
      </c>
      <c r="T10" s="30">
        <f t="shared" si="3"/>
        <v>1.7857142857142856E-2</v>
      </c>
      <c r="U10">
        <f t="shared" si="8"/>
        <v>1</v>
      </c>
      <c r="V10">
        <f t="shared" si="4"/>
        <v>17</v>
      </c>
      <c r="Y10" s="2">
        <f>3*Y9</f>
        <v>42</v>
      </c>
      <c r="Z10" s="2"/>
      <c r="AA10" s="2"/>
      <c r="AB10" s="2"/>
      <c r="AC10" s="2"/>
      <c r="AG10" s="30"/>
    </row>
    <row r="11" spans="1:35" x14ac:dyDescent="0.2">
      <c r="D11">
        <v>10</v>
      </c>
      <c r="E11" s="29">
        <f t="shared" ca="1" si="0"/>
        <v>-319.96013585391074</v>
      </c>
      <c r="F11" s="29">
        <f t="shared" ca="1" si="1"/>
        <v>938.38055558132362</v>
      </c>
      <c r="G11" s="29">
        <f ca="1">_xll.RiskUniform($L$2,$M$2)</f>
        <v>328.62504053134671</v>
      </c>
      <c r="H11" s="29">
        <f ca="1">_xll.RiskUniform($L$3,$M$3)</f>
        <v>991.42955152081606</v>
      </c>
      <c r="I11" s="2">
        <f t="shared" ca="1" si="2"/>
        <v>991.42955152081606</v>
      </c>
      <c r="K11" t="s">
        <v>91</v>
      </c>
      <c r="L11" s="2">
        <f ca="1">MIN(I:I)</f>
        <v>20.427675835688408</v>
      </c>
      <c r="O11" s="18">
        <v>275.14641766471482</v>
      </c>
      <c r="R11">
        <v>500</v>
      </c>
      <c r="S11">
        <f t="shared" si="7"/>
        <v>475</v>
      </c>
      <c r="T11" s="30">
        <f t="shared" si="3"/>
        <v>0</v>
      </c>
      <c r="U11">
        <f t="shared" si="8"/>
        <v>0</v>
      </c>
      <c r="V11">
        <f t="shared" si="4"/>
        <v>17</v>
      </c>
      <c r="Y11" s="2"/>
      <c r="Z11" s="2"/>
      <c r="AA11" s="2"/>
      <c r="AB11" s="2"/>
      <c r="AC11" s="2"/>
      <c r="AG11" s="30"/>
    </row>
    <row r="12" spans="1:35" x14ac:dyDescent="0.2">
      <c r="D12">
        <v>11</v>
      </c>
      <c r="E12" s="29">
        <f t="shared" ca="1" si="0"/>
        <v>-1763.4220653800455</v>
      </c>
      <c r="F12" s="29">
        <f t="shared" ca="1" si="1"/>
        <v>131.72729904174463</v>
      </c>
      <c r="G12" s="29">
        <f ca="1">_xll.RiskUniform($L$2,$M$2)</f>
        <v>78.465255006309476</v>
      </c>
      <c r="H12" s="29">
        <f ca="1">_xll.RiskUniform($L$3,$M$3)</f>
        <v>1768.3352233052588</v>
      </c>
      <c r="I12" s="2">
        <f t="shared" ca="1" si="2"/>
        <v>1768.3352233052585</v>
      </c>
      <c r="K12" t="s">
        <v>92</v>
      </c>
      <c r="L12" s="2">
        <f ca="1">MAX(I:I)</f>
        <v>2391.5677807305206</v>
      </c>
      <c r="O12" s="18">
        <v>304.38458244188269</v>
      </c>
      <c r="R12">
        <v>550</v>
      </c>
      <c r="S12">
        <f t="shared" si="7"/>
        <v>525</v>
      </c>
      <c r="T12" s="30">
        <f t="shared" si="3"/>
        <v>1.7857142857142856E-2</v>
      </c>
      <c r="U12">
        <f t="shared" si="8"/>
        <v>1</v>
      </c>
      <c r="V12">
        <f t="shared" si="4"/>
        <v>18</v>
      </c>
      <c r="Y12" s="2"/>
      <c r="Z12" s="2"/>
      <c r="AA12" s="2"/>
      <c r="AB12" s="2"/>
      <c r="AC12" s="2"/>
      <c r="AG12" s="30"/>
    </row>
    <row r="13" spans="1:35" x14ac:dyDescent="0.2">
      <c r="A13" t="s">
        <v>93</v>
      </c>
      <c r="D13">
        <v>12</v>
      </c>
      <c r="E13" s="29">
        <f t="shared" ca="1" si="0"/>
        <v>1050.8631271347888</v>
      </c>
      <c r="F13" s="29">
        <f t="shared" ca="1" si="1"/>
        <v>1874.7724486153329</v>
      </c>
      <c r="G13" s="29">
        <f ca="1">_xll.RiskUniform($L$2,$M$2)</f>
        <v>359.20146838135315</v>
      </c>
      <c r="H13" s="29">
        <f ca="1">_xll.RiskUniform($L$3,$M$3)</f>
        <v>2149.2056779328123</v>
      </c>
      <c r="I13" s="2">
        <f t="shared" ca="1" si="2"/>
        <v>2149.2056779328118</v>
      </c>
      <c r="O13" s="18">
        <v>325.95754349254474</v>
      </c>
      <c r="R13">
        <v>600</v>
      </c>
      <c r="S13">
        <f t="shared" si="7"/>
        <v>575</v>
      </c>
      <c r="T13" s="30">
        <f t="shared" si="3"/>
        <v>1.7857142857142856E-2</v>
      </c>
      <c r="U13">
        <f t="shared" si="8"/>
        <v>1</v>
      </c>
      <c r="V13">
        <f t="shared" si="4"/>
        <v>19</v>
      </c>
      <c r="X13" s="32" t="s">
        <v>94</v>
      </c>
      <c r="Y13" s="33">
        <f>(Y2^0.333*Y4)/(2*Y5)</f>
        <v>3.5648505965034767</v>
      </c>
      <c r="Z13" s="2"/>
      <c r="AA13" s="2"/>
      <c r="AB13" s="2"/>
      <c r="AC13" s="2"/>
      <c r="AG13" s="30"/>
    </row>
    <row r="14" spans="1:35" x14ac:dyDescent="0.2">
      <c r="A14">
        <v>1</v>
      </c>
      <c r="B14">
        <f ca="1">ROUND(_xll.RiskUniform(A29,B29),0)</f>
        <v>0</v>
      </c>
      <c r="D14">
        <v>13</v>
      </c>
      <c r="E14" s="29">
        <f t="shared" ca="1" si="0"/>
        <v>398.63811500354365</v>
      </c>
      <c r="F14" s="29">
        <f t="shared" ca="1" si="1"/>
        <v>-712.59460056627915</v>
      </c>
      <c r="G14" s="29">
        <f ca="1">_xll.RiskUniform($L$2,$M$2)</f>
        <v>275.39940220355953</v>
      </c>
      <c r="H14" s="29">
        <f ca="1">_xll.RiskUniform($L$3,$M$3)</f>
        <v>816.51908213451657</v>
      </c>
      <c r="I14" s="2">
        <f t="shared" ca="1" si="2"/>
        <v>816.51908213451657</v>
      </c>
      <c r="K14" t="s">
        <v>95</v>
      </c>
      <c r="L14">
        <f ca="1">COUNTIF(I:I,"&lt;400")</f>
        <v>8</v>
      </c>
      <c r="O14" s="18">
        <v>327.1396473859096</v>
      </c>
      <c r="R14">
        <v>650</v>
      </c>
      <c r="S14">
        <f t="shared" si="7"/>
        <v>625</v>
      </c>
      <c r="T14" s="30">
        <f t="shared" si="3"/>
        <v>0</v>
      </c>
      <c r="U14">
        <f t="shared" si="8"/>
        <v>0</v>
      </c>
      <c r="V14">
        <f t="shared" si="4"/>
        <v>19</v>
      </c>
      <c r="Y14" s="2"/>
      <c r="Z14" s="2"/>
      <c r="AA14" s="2"/>
      <c r="AB14" s="2"/>
      <c r="AC14" s="2"/>
      <c r="AG14" s="30"/>
    </row>
    <row r="15" spans="1:35" x14ac:dyDescent="0.2">
      <c r="A15">
        <v>2</v>
      </c>
      <c r="B15">
        <f ca="1">ROUND(_xll.RiskUniform(A30,B30),0)</f>
        <v>0</v>
      </c>
      <c r="D15">
        <v>14</v>
      </c>
      <c r="E15" s="29">
        <f t="shared" ca="1" si="0"/>
        <v>45.988451445842379</v>
      </c>
      <c r="F15" s="29">
        <f t="shared" ca="1" si="1"/>
        <v>-1578.1428857923083</v>
      </c>
      <c r="G15" s="29">
        <f ca="1">_xll.RiskUniform($L$2,$M$2)</f>
        <v>218.36982204666467</v>
      </c>
      <c r="H15" s="29">
        <f ca="1">_xll.RiskUniform($L$3,$M$3)</f>
        <v>1578.8128152644508</v>
      </c>
      <c r="I15" s="2">
        <f t="shared" ca="1" si="2"/>
        <v>1578.812815264451</v>
      </c>
      <c r="L15">
        <f ca="1">L14/56</f>
        <v>0.14285714285714285</v>
      </c>
      <c r="O15" s="18">
        <v>327.74577798931659</v>
      </c>
      <c r="R15">
        <v>700</v>
      </c>
      <c r="S15">
        <f t="shared" si="7"/>
        <v>675</v>
      </c>
      <c r="T15" s="30">
        <f t="shared" si="3"/>
        <v>1.7857142857142856E-2</v>
      </c>
      <c r="U15">
        <f t="shared" si="8"/>
        <v>1</v>
      </c>
      <c r="V15">
        <f t="shared" si="4"/>
        <v>20</v>
      </c>
      <c r="Y15" s="2"/>
      <c r="Z15" s="2"/>
      <c r="AA15" s="2"/>
      <c r="AB15" s="2"/>
      <c r="AC15" s="2"/>
      <c r="AG15" s="30"/>
    </row>
    <row r="16" spans="1:35" x14ac:dyDescent="0.2">
      <c r="A16">
        <v>3</v>
      </c>
      <c r="B16">
        <f ca="1">ROUND(_xll.RiskUniform(A31,B31),0)</f>
        <v>0</v>
      </c>
      <c r="D16">
        <v>15</v>
      </c>
      <c r="E16" s="29">
        <f t="shared" ca="1" si="0"/>
        <v>1697.0635268667029</v>
      </c>
      <c r="F16" s="29">
        <f t="shared" ca="1" si="1"/>
        <v>253.91735093658019</v>
      </c>
      <c r="G16" s="29">
        <f ca="1">_xll.RiskUniform($L$2,$M$2)</f>
        <v>220.06000559968396</v>
      </c>
      <c r="H16" s="29">
        <f ca="1">_xll.RiskUniform($L$3,$M$3)</f>
        <v>1715.9541472102053</v>
      </c>
      <c r="I16" s="2">
        <f t="shared" ca="1" si="2"/>
        <v>1715.9541472102053</v>
      </c>
      <c r="O16" s="18">
        <v>358.69281756755106</v>
      </c>
      <c r="R16">
        <v>750</v>
      </c>
      <c r="S16">
        <f t="shared" si="7"/>
        <v>725</v>
      </c>
      <c r="T16" s="30">
        <f t="shared" si="3"/>
        <v>0</v>
      </c>
      <c r="U16">
        <f t="shared" si="8"/>
        <v>0</v>
      </c>
      <c r="V16">
        <f t="shared" si="4"/>
        <v>20</v>
      </c>
      <c r="Y16" s="2"/>
      <c r="Z16" s="2"/>
      <c r="AA16" s="2"/>
      <c r="AB16" s="2"/>
      <c r="AC16" s="2"/>
      <c r="AG16" s="30"/>
    </row>
    <row r="17" spans="1:33" x14ac:dyDescent="0.2">
      <c r="A17">
        <v>4</v>
      </c>
      <c r="B17">
        <f ca="1">ROUND(_xll.RiskUniform(A32,B32),0)</f>
        <v>0</v>
      </c>
      <c r="D17">
        <v>16</v>
      </c>
      <c r="E17" s="29">
        <f t="shared" ca="1" si="0"/>
        <v>-400.11114678383552</v>
      </c>
      <c r="F17" s="29">
        <f t="shared" ca="1" si="1"/>
        <v>-346.45727375338095</v>
      </c>
      <c r="G17" s="29">
        <f ca="1">_xll.RiskUniform($L$2,$M$2)</f>
        <v>123.23576767889887</v>
      </c>
      <c r="H17" s="29">
        <f ca="1">_xll.RiskUniform($L$3,$M$3)</f>
        <v>529.26512478841937</v>
      </c>
      <c r="I17" s="2">
        <f t="shared" ca="1" si="2"/>
        <v>529.26512478841937</v>
      </c>
      <c r="K17" t="s">
        <v>96</v>
      </c>
      <c r="L17">
        <f ca="1">COUNTIF(I:I,"&lt;1200")</f>
        <v>29</v>
      </c>
      <c r="O17" s="18">
        <v>372.64878907508484</v>
      </c>
      <c r="R17">
        <v>800</v>
      </c>
      <c r="S17">
        <f t="shared" si="7"/>
        <v>775</v>
      </c>
      <c r="T17" s="30">
        <f t="shared" si="3"/>
        <v>7.1428571428571425E-2</v>
      </c>
      <c r="U17">
        <f t="shared" si="8"/>
        <v>4</v>
      </c>
      <c r="V17">
        <f t="shared" si="4"/>
        <v>24</v>
      </c>
      <c r="X17" s="32" t="s">
        <v>97</v>
      </c>
      <c r="Y17" s="33">
        <f>1+3.322*LOG(Y2)</f>
        <v>6.8074806257145983</v>
      </c>
      <c r="Z17" s="2"/>
      <c r="AA17" s="2"/>
      <c r="AB17" s="2"/>
      <c r="AC17" s="2"/>
      <c r="AG17" s="30"/>
    </row>
    <row r="18" spans="1:33" x14ac:dyDescent="0.2">
      <c r="A18">
        <v>5</v>
      </c>
      <c r="B18">
        <f ca="1">ROUND(_xll.RiskUniform(A33,B33),0)</f>
        <v>0</v>
      </c>
      <c r="D18">
        <v>17</v>
      </c>
      <c r="E18" s="29">
        <f t="shared" ca="1" si="0"/>
        <v>1017.9624042456325</v>
      </c>
      <c r="F18" s="29">
        <f t="shared" ca="1" si="1"/>
        <v>317.67052408605099</v>
      </c>
      <c r="G18" s="29">
        <f ca="1">_xll.RiskUniform($L$2,$M$2)</f>
        <v>94.550268205420025</v>
      </c>
      <c r="H18" s="29">
        <f ca="1">_xll.RiskUniform($L$3,$M$3)</f>
        <v>1066.3779903630113</v>
      </c>
      <c r="I18" s="2">
        <f t="shared" ca="1" si="2"/>
        <v>1066.3779903630113</v>
      </c>
      <c r="L18">
        <f ca="1">L17/56</f>
        <v>0.5178571428571429</v>
      </c>
      <c r="O18" s="18">
        <v>417.58224165952919</v>
      </c>
      <c r="R18">
        <v>850</v>
      </c>
      <c r="S18">
        <f t="shared" si="7"/>
        <v>825</v>
      </c>
      <c r="T18" s="30">
        <f t="shared" si="3"/>
        <v>7.1428571428571425E-2</v>
      </c>
      <c r="U18">
        <f t="shared" si="8"/>
        <v>4</v>
      </c>
      <c r="V18">
        <f t="shared" si="4"/>
        <v>28</v>
      </c>
      <c r="Y18" s="2"/>
      <c r="Z18" s="2"/>
      <c r="AA18" s="2"/>
      <c r="AB18" s="2"/>
      <c r="AC18" s="2"/>
      <c r="AG18" s="30"/>
    </row>
    <row r="19" spans="1:33" x14ac:dyDescent="0.2">
      <c r="A19">
        <v>6</v>
      </c>
      <c r="B19">
        <f ca="1">ROUND(_xll.RiskUniform(A34,B34),0)</f>
        <v>0</v>
      </c>
      <c r="D19">
        <v>18</v>
      </c>
      <c r="E19" s="29">
        <f t="shared" ca="1" si="0"/>
        <v>1775.8478524060506</v>
      </c>
      <c r="F19" s="29">
        <f t="shared" ca="1" si="1"/>
        <v>1097.6254037894746</v>
      </c>
      <c r="G19" s="29">
        <f ca="1">_xll.RiskUniform($L$2,$M$2)</f>
        <v>277.01376498322469</v>
      </c>
      <c r="H19" s="29">
        <f ca="1">_xll.RiskUniform($L$3,$M$3)</f>
        <v>2087.6822368213006</v>
      </c>
      <c r="I19" s="2">
        <f t="shared" ca="1" si="2"/>
        <v>2087.6822368213006</v>
      </c>
      <c r="O19" s="18">
        <v>500.04654428848852</v>
      </c>
      <c r="R19">
        <v>900</v>
      </c>
      <c r="S19">
        <f t="shared" si="7"/>
        <v>875</v>
      </c>
      <c r="T19" s="30">
        <f t="shared" si="3"/>
        <v>0</v>
      </c>
      <c r="U19">
        <f t="shared" si="8"/>
        <v>0</v>
      </c>
      <c r="V19">
        <f t="shared" si="4"/>
        <v>28</v>
      </c>
      <c r="X19" t="s">
        <v>98</v>
      </c>
      <c r="Y19" s="2">
        <f>MAX(O:O)</f>
        <v>2399.3131548827805</v>
      </c>
      <c r="Z19" s="2"/>
      <c r="AA19" s="2"/>
      <c r="AB19" s="2"/>
      <c r="AC19" s="2"/>
      <c r="AG19" s="30"/>
    </row>
    <row r="20" spans="1:33" x14ac:dyDescent="0.2">
      <c r="A20">
        <v>7</v>
      </c>
      <c r="B20">
        <f ca="1">ROUND(_xll.RiskUniform(A35,B35),0)</f>
        <v>0</v>
      </c>
      <c r="D20">
        <v>19</v>
      </c>
      <c r="E20" s="29">
        <f t="shared" ca="1" si="0"/>
        <v>112.09399075093305</v>
      </c>
      <c r="F20" s="29">
        <f t="shared" ca="1" si="1"/>
        <v>-1220.0468581719274</v>
      </c>
      <c r="G20" s="29">
        <f ca="1">_xll.RiskUniform($L$2,$M$2)</f>
        <v>293.83053268238973</v>
      </c>
      <c r="H20" s="29">
        <f ca="1">_xll.RiskUniform($L$3,$M$3)</f>
        <v>1225.1854548996496</v>
      </c>
      <c r="I20" s="2">
        <f t="shared" ca="1" si="2"/>
        <v>1225.1854548996496</v>
      </c>
      <c r="O20" s="18">
        <v>583.53387812896381</v>
      </c>
      <c r="R20">
        <v>950</v>
      </c>
      <c r="S20">
        <f t="shared" si="7"/>
        <v>925</v>
      </c>
      <c r="T20" s="30">
        <f t="shared" si="3"/>
        <v>1.7857142857142856E-2</v>
      </c>
      <c r="U20">
        <f t="shared" si="8"/>
        <v>1</v>
      </c>
      <c r="V20">
        <f t="shared" si="4"/>
        <v>29</v>
      </c>
      <c r="Y20" s="2"/>
      <c r="Z20" s="2"/>
      <c r="AA20" s="2"/>
      <c r="AB20" s="2"/>
      <c r="AC20" s="2"/>
      <c r="AG20" s="30"/>
    </row>
    <row r="21" spans="1:33" x14ac:dyDescent="0.2">
      <c r="A21">
        <v>8</v>
      </c>
      <c r="B21">
        <f ca="1">ROUND(_xll.RiskUniform(A36,B36),0)</f>
        <v>0</v>
      </c>
      <c r="D21">
        <v>20</v>
      </c>
      <c r="E21" s="29">
        <f t="shared" ca="1" si="0"/>
        <v>-400.80574441435795</v>
      </c>
      <c r="F21" s="29">
        <f t="shared" ca="1" si="1"/>
        <v>1432.7293370910206</v>
      </c>
      <c r="G21" s="29">
        <f ca="1">_xll.RiskUniform($L$2,$M$2)</f>
        <v>309.7196530555205</v>
      </c>
      <c r="H21" s="29">
        <f ca="1">_xll.RiskUniform($L$3,$M$3)</f>
        <v>1487.7360646690067</v>
      </c>
      <c r="I21" s="2">
        <f t="shared" ca="1" si="2"/>
        <v>1487.7360646690067</v>
      </c>
      <c r="O21" s="18">
        <v>688.8062504141277</v>
      </c>
      <c r="R21">
        <v>1000</v>
      </c>
      <c r="S21">
        <f t="shared" si="7"/>
        <v>975</v>
      </c>
      <c r="T21" s="30">
        <f t="shared" si="3"/>
        <v>1.7857142857142856E-2</v>
      </c>
      <c r="U21">
        <f t="shared" si="8"/>
        <v>1</v>
      </c>
      <c r="V21">
        <f t="shared" si="4"/>
        <v>30</v>
      </c>
      <c r="X21" t="s">
        <v>99</v>
      </c>
      <c r="Y21" s="2">
        <f>Y19/Y17</f>
        <v>352.45243972044631</v>
      </c>
      <c r="Z21" s="2"/>
      <c r="AA21" s="2"/>
      <c r="AB21" s="2"/>
      <c r="AC21" s="2"/>
      <c r="AG21" s="30"/>
    </row>
    <row r="22" spans="1:33" x14ac:dyDescent="0.2">
      <c r="A22">
        <v>9</v>
      </c>
      <c r="B22">
        <f ca="1">ROUND(_xll.RiskUniform(A37,B37),0)</f>
        <v>0</v>
      </c>
      <c r="D22">
        <v>21</v>
      </c>
      <c r="E22" s="29">
        <f t="shared" ca="1" si="0"/>
        <v>-838.58232248911713</v>
      </c>
      <c r="F22" s="29">
        <f t="shared" ca="1" si="1"/>
        <v>347.51983747019295</v>
      </c>
      <c r="G22" s="29">
        <f ca="1">_xll.RiskUniform($L$2,$M$2)</f>
        <v>46.7310200745654</v>
      </c>
      <c r="H22" s="29">
        <f ca="1">_xll.RiskUniform($L$3,$M$3)</f>
        <v>907.73914150847929</v>
      </c>
      <c r="I22" s="2">
        <f t="shared" ca="1" si="2"/>
        <v>907.73914150847929</v>
      </c>
      <c r="O22" s="18">
        <v>769.96177668133828</v>
      </c>
      <c r="R22">
        <v>1050</v>
      </c>
      <c r="S22">
        <f t="shared" si="7"/>
        <v>1025</v>
      </c>
      <c r="T22" s="30">
        <f t="shared" si="3"/>
        <v>1.7857142857142856E-2</v>
      </c>
      <c r="U22">
        <f t="shared" si="8"/>
        <v>1</v>
      </c>
      <c r="V22">
        <f t="shared" si="4"/>
        <v>31</v>
      </c>
      <c r="X22" t="s">
        <v>100</v>
      </c>
      <c r="Y22" s="2">
        <f>Y19/Y13</f>
        <v>673.04732412519786</v>
      </c>
      <c r="Z22" s="2"/>
      <c r="AA22" s="2"/>
      <c r="AB22" s="2"/>
      <c r="AC22" s="2"/>
      <c r="AG22" s="30"/>
    </row>
    <row r="23" spans="1:33" x14ac:dyDescent="0.2">
      <c r="D23">
        <v>22</v>
      </c>
      <c r="E23" s="29">
        <f t="shared" ca="1" si="0"/>
        <v>-2121.1722397254102</v>
      </c>
      <c r="F23" s="29">
        <f t="shared" ca="1" si="1"/>
        <v>85.427380304141465</v>
      </c>
      <c r="G23" s="29">
        <f ca="1">_xll.RiskUniform($L$2,$M$2)</f>
        <v>128.76504688516195</v>
      </c>
      <c r="H23" s="29">
        <f ca="1">_xll.RiskUniform($L$3,$M$3)</f>
        <v>2122.8917795986072</v>
      </c>
      <c r="I23" s="2">
        <f t="shared" ca="1" si="2"/>
        <v>2122.8917795986072</v>
      </c>
      <c r="O23" s="18">
        <v>773.59007206339356</v>
      </c>
      <c r="R23">
        <v>1100</v>
      </c>
      <c r="S23">
        <f t="shared" si="7"/>
        <v>1075</v>
      </c>
      <c r="T23" s="30">
        <f t="shared" si="3"/>
        <v>1.7857142857142856E-2</v>
      </c>
      <c r="U23">
        <f t="shared" si="8"/>
        <v>1</v>
      </c>
      <c r="V23">
        <f t="shared" si="4"/>
        <v>32</v>
      </c>
      <c r="AG23" s="30"/>
    </row>
    <row r="24" spans="1:33" x14ac:dyDescent="0.2">
      <c r="D24">
        <v>23</v>
      </c>
      <c r="E24" s="29">
        <f t="shared" ca="1" si="0"/>
        <v>918.79963654032122</v>
      </c>
      <c r="F24" s="29">
        <f t="shared" ca="1" si="1"/>
        <v>1070.1556640606418</v>
      </c>
      <c r="G24" s="29">
        <f ca="1">_xll.RiskUniform($L$2,$M$2)</f>
        <v>145.37461209816536</v>
      </c>
      <c r="H24" s="29">
        <f ca="1">_xll.RiskUniform($L$3,$M$3)</f>
        <v>1410.4701051166237</v>
      </c>
      <c r="I24" s="2">
        <f t="shared" ca="1" si="2"/>
        <v>1410.4701051166237</v>
      </c>
      <c r="O24" s="18">
        <v>778.0733672450682</v>
      </c>
      <c r="R24">
        <v>1150</v>
      </c>
      <c r="S24">
        <f t="shared" si="7"/>
        <v>1125</v>
      </c>
      <c r="T24" s="30">
        <f t="shared" si="3"/>
        <v>5.3571428571428568E-2</v>
      </c>
      <c r="U24">
        <f t="shared" si="8"/>
        <v>3</v>
      </c>
      <c r="V24">
        <f t="shared" si="4"/>
        <v>35</v>
      </c>
      <c r="Y24" s="2">
        <f>AVERAGE(Y21:Y22)</f>
        <v>512.74988192282206</v>
      </c>
      <c r="AG24" s="30"/>
    </row>
    <row r="25" spans="1:33" x14ac:dyDescent="0.2">
      <c r="D25">
        <v>24</v>
      </c>
      <c r="E25" s="29">
        <f t="shared" ca="1" si="0"/>
        <v>-464.08805416044561</v>
      </c>
      <c r="F25" s="29">
        <f t="shared" ca="1" si="1"/>
        <v>372.63482915289495</v>
      </c>
      <c r="G25" s="29">
        <f ca="1">_xll.RiskUniform($L$2,$M$2)</f>
        <v>322.90751230710373</v>
      </c>
      <c r="H25" s="29">
        <f ca="1">_xll.RiskUniform($L$3,$M$3)</f>
        <v>595.17597222353982</v>
      </c>
      <c r="I25" s="2">
        <f t="shared" ca="1" si="2"/>
        <v>595.17597222353993</v>
      </c>
      <c r="O25" s="18">
        <v>798.31028648843562</v>
      </c>
      <c r="R25">
        <v>1200</v>
      </c>
      <c r="S25">
        <f t="shared" si="7"/>
        <v>1175</v>
      </c>
      <c r="T25" s="30">
        <f t="shared" si="3"/>
        <v>1.7857142857142856E-2</v>
      </c>
      <c r="U25">
        <f t="shared" si="8"/>
        <v>1</v>
      </c>
      <c r="V25">
        <f t="shared" si="4"/>
        <v>36</v>
      </c>
      <c r="AG25" s="30"/>
    </row>
    <row r="26" spans="1:33" x14ac:dyDescent="0.2">
      <c r="D26">
        <v>25</v>
      </c>
      <c r="E26" s="29">
        <f t="shared" ca="1" si="0"/>
        <v>731.62884230239126</v>
      </c>
      <c r="F26" s="29">
        <f t="shared" ca="1" si="1"/>
        <v>255.58648946054825</v>
      </c>
      <c r="G26" s="29">
        <f ca="1">_xll.RiskUniform($L$2,$M$2)</f>
        <v>314.49535119450758</v>
      </c>
      <c r="H26" s="29">
        <f ca="1">_xll.RiskUniform($L$3,$M$3)</f>
        <v>774.98723633586656</v>
      </c>
      <c r="I26" s="2">
        <f t="shared" ca="1" si="2"/>
        <v>774.98723633586644</v>
      </c>
      <c r="O26" s="18">
        <v>806.3936425768992</v>
      </c>
      <c r="R26">
        <v>1250</v>
      </c>
      <c r="S26">
        <f t="shared" si="7"/>
        <v>1225</v>
      </c>
      <c r="T26" s="30">
        <f t="shared" si="3"/>
        <v>0</v>
      </c>
      <c r="U26">
        <f t="shared" si="8"/>
        <v>0</v>
      </c>
      <c r="V26">
        <f t="shared" si="4"/>
        <v>36</v>
      </c>
      <c r="AG26" s="30"/>
    </row>
    <row r="27" spans="1:33" x14ac:dyDescent="0.2">
      <c r="D27">
        <v>26</v>
      </c>
      <c r="E27" s="29">
        <f t="shared" ca="1" si="0"/>
        <v>-133.63840644690711</v>
      </c>
      <c r="F27" s="29">
        <f t="shared" ca="1" si="1"/>
        <v>387.29938923607568</v>
      </c>
      <c r="G27" s="29">
        <f ca="1">_xll.RiskUniform($L$2,$M$2)</f>
        <v>14.469426908479113</v>
      </c>
      <c r="H27" s="29">
        <f ca="1">_xll.RiskUniform($L$3,$M$3)</f>
        <v>409.70726205463581</v>
      </c>
      <c r="I27" s="2">
        <f t="shared" ca="1" si="2"/>
        <v>409.70726205463581</v>
      </c>
      <c r="O27" s="18">
        <v>821.98164214175051</v>
      </c>
      <c r="R27">
        <v>1300</v>
      </c>
      <c r="S27">
        <f t="shared" si="7"/>
        <v>1275</v>
      </c>
      <c r="T27" s="30">
        <f t="shared" si="3"/>
        <v>0</v>
      </c>
      <c r="U27">
        <f t="shared" si="8"/>
        <v>0</v>
      </c>
      <c r="V27">
        <f t="shared" si="4"/>
        <v>36</v>
      </c>
      <c r="AG27" s="30"/>
    </row>
    <row r="28" spans="1:33" x14ac:dyDescent="0.2">
      <c r="D28">
        <v>27</v>
      </c>
      <c r="E28" s="29">
        <f t="shared" ca="1" si="0"/>
        <v>279.96814641852717</v>
      </c>
      <c r="F28" s="29">
        <f t="shared" ca="1" si="1"/>
        <v>-328.58023556039649</v>
      </c>
      <c r="G28" s="29">
        <f ca="1">_xll.RiskUniform($L$2,$M$2)</f>
        <v>294.44459849446832</v>
      </c>
      <c r="H28" s="29">
        <f ca="1">_xll.RiskUniform($L$3,$M$3)</f>
        <v>431.6794345459968</v>
      </c>
      <c r="I28" s="2">
        <f t="shared" ca="1" si="2"/>
        <v>431.67943454599674</v>
      </c>
      <c r="O28" s="18">
        <v>824.02626323133984</v>
      </c>
      <c r="R28">
        <v>1350</v>
      </c>
      <c r="S28">
        <f t="shared" si="7"/>
        <v>1325</v>
      </c>
      <c r="T28" s="30">
        <f t="shared" si="3"/>
        <v>1.7857142857142856E-2</v>
      </c>
      <c r="U28">
        <f t="shared" si="8"/>
        <v>1</v>
      </c>
      <c r="V28">
        <f t="shared" si="4"/>
        <v>37</v>
      </c>
      <c r="AG28" s="30"/>
    </row>
    <row r="29" spans="1:33" x14ac:dyDescent="0.2">
      <c r="D29">
        <v>28</v>
      </c>
      <c r="E29" s="29">
        <f t="shared" ca="1" si="0"/>
        <v>26.045024366454371</v>
      </c>
      <c r="F29" s="29">
        <f t="shared" ca="1" si="1"/>
        <v>295.66133213953782</v>
      </c>
      <c r="G29" s="29">
        <f ca="1">_xll.RiskUniform($L$2,$M$2)</f>
        <v>265.37671529794522</v>
      </c>
      <c r="H29" s="29">
        <f ca="1">_xll.RiskUniform($L$3,$M$3)</f>
        <v>296.80627792682435</v>
      </c>
      <c r="I29" s="2">
        <f t="shared" ca="1" si="2"/>
        <v>296.80627792682435</v>
      </c>
      <c r="O29" s="18">
        <v>849.17572513038249</v>
      </c>
      <c r="R29">
        <v>1400</v>
      </c>
      <c r="S29">
        <f t="shared" si="7"/>
        <v>1375</v>
      </c>
      <c r="T29" s="30">
        <f t="shared" si="3"/>
        <v>0</v>
      </c>
      <c r="U29">
        <f t="shared" si="8"/>
        <v>0</v>
      </c>
      <c r="V29">
        <f t="shared" si="4"/>
        <v>37</v>
      </c>
      <c r="AG29" s="30"/>
    </row>
    <row r="30" spans="1:33" x14ac:dyDescent="0.2">
      <c r="D30">
        <v>29</v>
      </c>
      <c r="E30" s="29">
        <f t="shared" ca="1" si="0"/>
        <v>-261.74089608768327</v>
      </c>
      <c r="F30" s="29">
        <f t="shared" ca="1" si="1"/>
        <v>-51.411471309591242</v>
      </c>
      <c r="G30" s="29">
        <f ca="1">_xll.RiskUniform($L$2,$M$2)</f>
        <v>242.0965864143879</v>
      </c>
      <c r="H30" s="29">
        <f ca="1">_xll.RiskUniform($L$3,$M$3)</f>
        <v>266.74226524306255</v>
      </c>
      <c r="I30" s="2">
        <f t="shared" ca="1" si="2"/>
        <v>266.74226524306255</v>
      </c>
      <c r="O30" s="18">
        <v>931.83313355944381</v>
      </c>
      <c r="R30">
        <v>1450</v>
      </c>
      <c r="S30">
        <f t="shared" si="7"/>
        <v>1425</v>
      </c>
      <c r="T30" s="30">
        <f t="shared" si="3"/>
        <v>1.7857142857142856E-2</v>
      </c>
      <c r="U30">
        <f t="shared" si="8"/>
        <v>1</v>
      </c>
      <c r="V30">
        <f t="shared" si="4"/>
        <v>38</v>
      </c>
    </row>
    <row r="31" spans="1:33" x14ac:dyDescent="0.2">
      <c r="D31">
        <v>30</v>
      </c>
      <c r="E31" s="29">
        <f t="shared" ca="1" si="0"/>
        <v>1407.6901776012812</v>
      </c>
      <c r="F31" s="29">
        <f t="shared" ca="1" si="1"/>
        <v>-528.94485877665409</v>
      </c>
      <c r="G31" s="29">
        <f ca="1">_xll.RiskUniform($L$2,$M$2)</f>
        <v>250.96798096148146</v>
      </c>
      <c r="H31" s="29">
        <f ca="1">_xll.RiskUniform($L$3,$M$3)</f>
        <v>1503.7866536651338</v>
      </c>
      <c r="I31" s="2">
        <f t="shared" ca="1" si="2"/>
        <v>1503.7866536651338</v>
      </c>
      <c r="O31" s="18">
        <v>971.81364598540097</v>
      </c>
      <c r="R31">
        <v>1500</v>
      </c>
      <c r="S31">
        <f t="shared" si="7"/>
        <v>1475</v>
      </c>
      <c r="T31" s="30">
        <f t="shared" si="3"/>
        <v>1.7857142857142856E-2</v>
      </c>
      <c r="U31">
        <f t="shared" si="8"/>
        <v>1</v>
      </c>
      <c r="V31">
        <f t="shared" si="4"/>
        <v>39</v>
      </c>
    </row>
    <row r="32" spans="1:33" x14ac:dyDescent="0.2">
      <c r="D32">
        <v>31</v>
      </c>
      <c r="E32" s="29">
        <f t="shared" ca="1" si="0"/>
        <v>19.201994654828702</v>
      </c>
      <c r="F32" s="29">
        <f t="shared" ca="1" si="1"/>
        <v>-6.9694577496314567</v>
      </c>
      <c r="G32" s="29">
        <f ca="1">_xll.RiskUniform($L$2,$M$2)</f>
        <v>213.28013146265971</v>
      </c>
      <c r="H32" s="29">
        <f ca="1">_xll.RiskUniform($L$3,$M$3)</f>
        <v>20.427675835688408</v>
      </c>
      <c r="I32" s="2">
        <f t="shared" ca="1" si="2"/>
        <v>20.427675835688408</v>
      </c>
      <c r="O32" s="18">
        <v>1043.9516606862226</v>
      </c>
      <c r="R32">
        <v>1550</v>
      </c>
      <c r="S32">
        <f t="shared" si="7"/>
        <v>1525</v>
      </c>
      <c r="T32" s="30">
        <f t="shared" si="3"/>
        <v>1.7857142857142856E-2</v>
      </c>
      <c r="U32">
        <f t="shared" si="8"/>
        <v>1</v>
      </c>
      <c r="V32">
        <f t="shared" si="4"/>
        <v>40</v>
      </c>
    </row>
    <row r="33" spans="4:22" x14ac:dyDescent="0.2">
      <c r="D33">
        <v>32</v>
      </c>
      <c r="E33" s="29">
        <f t="shared" ca="1" si="0"/>
        <v>-238.01557269282219</v>
      </c>
      <c r="F33" s="29">
        <f t="shared" ca="1" si="1"/>
        <v>-912.58870515477349</v>
      </c>
      <c r="G33" s="29">
        <f ca="1">_xll.RiskUniform($L$2,$M$2)</f>
        <v>117.55459449111611</v>
      </c>
      <c r="H33" s="29">
        <f ca="1">_xll.RiskUniform($L$3,$M$3)</f>
        <v>943.11693740509088</v>
      </c>
      <c r="I33" s="2">
        <f t="shared" ca="1" si="2"/>
        <v>943.11693740509088</v>
      </c>
      <c r="O33" s="18">
        <v>1053.8277919005748</v>
      </c>
      <c r="R33">
        <v>1600</v>
      </c>
      <c r="S33">
        <f t="shared" si="7"/>
        <v>1575</v>
      </c>
      <c r="T33" s="30">
        <f t="shared" si="3"/>
        <v>3.5714285714285712E-2</v>
      </c>
      <c r="U33">
        <f t="shared" si="8"/>
        <v>2</v>
      </c>
      <c r="V33">
        <f t="shared" si="4"/>
        <v>42</v>
      </c>
    </row>
    <row r="34" spans="4:22" x14ac:dyDescent="0.2">
      <c r="D34">
        <v>33</v>
      </c>
      <c r="E34" s="29">
        <f t="shared" ca="1" si="0"/>
        <v>966.51774312578334</v>
      </c>
      <c r="F34" s="29">
        <f t="shared" ca="1" si="1"/>
        <v>1343.311798286755</v>
      </c>
      <c r="G34" s="29">
        <f ca="1">_xll.RiskUniform($L$2,$M$2)</f>
        <v>0.94710024033520135</v>
      </c>
      <c r="H34" s="29">
        <f ca="1">_xll.RiskUniform($L$3,$M$3)</f>
        <v>1654.8846289676369</v>
      </c>
      <c r="I34" s="2">
        <f t="shared" ca="1" si="2"/>
        <v>1654.8846289676369</v>
      </c>
      <c r="O34" s="18">
        <v>1101.7843274581494</v>
      </c>
      <c r="R34">
        <v>1650</v>
      </c>
      <c r="S34">
        <f t="shared" si="7"/>
        <v>1625</v>
      </c>
      <c r="T34" s="30">
        <f t="shared" si="3"/>
        <v>1.7857142857142856E-2</v>
      </c>
      <c r="U34">
        <f t="shared" si="8"/>
        <v>1</v>
      </c>
      <c r="V34">
        <f t="shared" si="4"/>
        <v>43</v>
      </c>
    </row>
    <row r="35" spans="4:22" x14ac:dyDescent="0.2">
      <c r="D35">
        <v>34</v>
      </c>
      <c r="E35" s="29">
        <f t="shared" ca="1" si="0"/>
        <v>-2378.6805762495442</v>
      </c>
      <c r="F35" s="29">
        <f t="shared" ca="1" si="1"/>
        <v>58.521242143493367</v>
      </c>
      <c r="G35" s="29">
        <f ca="1">_xll.RiskUniform($L$2,$M$2)</f>
        <v>279.57714873517909</v>
      </c>
      <c r="H35" s="29">
        <f ca="1">_xll.RiskUniform($L$3,$M$3)</f>
        <v>2379.4003487452214</v>
      </c>
      <c r="I35" s="2">
        <f t="shared" ca="1" si="2"/>
        <v>2379.4003487452214</v>
      </c>
      <c r="O35" s="18">
        <v>1107.1236354380992</v>
      </c>
      <c r="R35">
        <v>1700</v>
      </c>
      <c r="S35">
        <f t="shared" si="7"/>
        <v>1675</v>
      </c>
      <c r="T35" s="30">
        <f t="shared" si="3"/>
        <v>0</v>
      </c>
      <c r="U35">
        <f t="shared" si="8"/>
        <v>0</v>
      </c>
      <c r="V35">
        <f t="shared" si="4"/>
        <v>43</v>
      </c>
    </row>
    <row r="36" spans="4:22" x14ac:dyDescent="0.2">
      <c r="D36">
        <v>35</v>
      </c>
      <c r="E36" s="29">
        <f t="shared" ca="1" si="0"/>
        <v>355.47048733859106</v>
      </c>
      <c r="F36" s="29">
        <f t="shared" ca="1" si="1"/>
        <v>691.52742614163537</v>
      </c>
      <c r="G36" s="29">
        <f ca="1">_xll.RiskUniform($L$2,$M$2)</f>
        <v>120.47650334268683</v>
      </c>
      <c r="H36" s="29">
        <f ca="1">_xll.RiskUniform($L$3,$M$3)</f>
        <v>777.5406410438045</v>
      </c>
      <c r="I36" s="2">
        <f t="shared" ca="1" si="2"/>
        <v>777.54064104380438</v>
      </c>
      <c r="O36" s="18">
        <v>1123.3420400734483</v>
      </c>
      <c r="R36">
        <v>1750</v>
      </c>
      <c r="S36">
        <f t="shared" si="7"/>
        <v>1725</v>
      </c>
      <c r="T36" s="30">
        <f t="shared" si="3"/>
        <v>1.7857142857142856E-2</v>
      </c>
      <c r="U36">
        <f t="shared" si="8"/>
        <v>1</v>
      </c>
      <c r="V36">
        <f t="shared" si="4"/>
        <v>44</v>
      </c>
    </row>
    <row r="37" spans="4:22" x14ac:dyDescent="0.2">
      <c r="D37">
        <v>36</v>
      </c>
      <c r="E37" s="29">
        <f t="shared" ca="1" si="0"/>
        <v>1086.0817685735319</v>
      </c>
      <c r="F37" s="29">
        <f t="shared" ca="1" si="1"/>
        <v>1921.8795379193086</v>
      </c>
      <c r="G37" s="29">
        <f ca="1">_xll.RiskUniform($L$2,$M$2)</f>
        <v>70.171461464329667</v>
      </c>
      <c r="H37" s="29">
        <f ca="1">_xll.RiskUniform($L$3,$M$3)</f>
        <v>2207.5313284981362</v>
      </c>
      <c r="I37" s="2">
        <f t="shared" ca="1" si="2"/>
        <v>2207.5313284981362</v>
      </c>
      <c r="O37" s="18">
        <v>1189.2784281890295</v>
      </c>
      <c r="R37">
        <v>1800</v>
      </c>
      <c r="S37">
        <f t="shared" si="7"/>
        <v>1775</v>
      </c>
      <c r="T37" s="30">
        <f t="shared" si="3"/>
        <v>0</v>
      </c>
      <c r="U37">
        <f t="shared" si="8"/>
        <v>0</v>
      </c>
      <c r="V37">
        <f t="shared" si="4"/>
        <v>44</v>
      </c>
    </row>
    <row r="38" spans="4:22" x14ac:dyDescent="0.2">
      <c r="D38">
        <v>37</v>
      </c>
      <c r="E38" s="29">
        <f t="shared" ca="1" si="0"/>
        <v>-1186.0086631369666</v>
      </c>
      <c r="F38" s="29">
        <f t="shared" ca="1" si="1"/>
        <v>-428.4662058510512</v>
      </c>
      <c r="G38" s="29">
        <f ca="1">_xll.RiskUniform($L$2,$M$2)</f>
        <v>34.904196261735152</v>
      </c>
      <c r="H38" s="29">
        <f ca="1">_xll.RiskUniform($L$3,$M$3)</f>
        <v>1261.0312599584238</v>
      </c>
      <c r="I38" s="2">
        <f t="shared" ca="1" si="2"/>
        <v>1261.0312599584238</v>
      </c>
      <c r="O38" s="18">
        <v>1345.8996458999591</v>
      </c>
      <c r="R38">
        <v>1850</v>
      </c>
      <c r="S38">
        <f t="shared" si="7"/>
        <v>1825</v>
      </c>
      <c r="T38" s="30">
        <f t="shared" si="3"/>
        <v>1.7857142857142856E-2</v>
      </c>
      <c r="U38">
        <f t="shared" si="8"/>
        <v>1</v>
      </c>
      <c r="V38">
        <f t="shared" si="4"/>
        <v>45</v>
      </c>
    </row>
    <row r="39" spans="4:22" x14ac:dyDescent="0.2">
      <c r="D39">
        <v>38</v>
      </c>
      <c r="E39" s="29">
        <f t="shared" ca="1" si="0"/>
        <v>289.54898112351572</v>
      </c>
      <c r="F39" s="29">
        <f t="shared" ca="1" si="1"/>
        <v>2075.4099635154193</v>
      </c>
      <c r="G39" s="29">
        <f ca="1">_xll.RiskUniform($L$2,$M$2)</f>
        <v>271.60914517202951</v>
      </c>
      <c r="H39" s="29">
        <f ca="1">_xll.RiskUniform($L$3,$M$3)</f>
        <v>2095.5107084261681</v>
      </c>
      <c r="I39" s="2">
        <f t="shared" ca="1" si="2"/>
        <v>2095.5107084261681</v>
      </c>
      <c r="O39" s="18">
        <v>1444.2262801382226</v>
      </c>
      <c r="R39">
        <v>1900</v>
      </c>
      <c r="S39">
        <f t="shared" si="7"/>
        <v>1875</v>
      </c>
      <c r="T39" s="30">
        <f t="shared" si="3"/>
        <v>1.7857142857142856E-2</v>
      </c>
      <c r="U39">
        <f t="shared" si="8"/>
        <v>1</v>
      </c>
      <c r="V39">
        <f t="shared" si="4"/>
        <v>46</v>
      </c>
    </row>
    <row r="40" spans="4:22" x14ac:dyDescent="0.2">
      <c r="D40">
        <v>39</v>
      </c>
      <c r="E40" s="29">
        <f t="shared" ca="1" si="0"/>
        <v>-112.26858866000131</v>
      </c>
      <c r="F40" s="29">
        <f t="shared" ca="1" si="1"/>
        <v>-367.8973114614036</v>
      </c>
      <c r="G40" s="29">
        <f ca="1">_xll.RiskUniform($L$2,$M$2)</f>
        <v>180.34539099200811</v>
      </c>
      <c r="H40" s="29">
        <f ca="1">_xll.RiskUniform($L$3,$M$3)</f>
        <v>384.64615919080433</v>
      </c>
      <c r="I40" s="2">
        <f t="shared" ca="1" si="2"/>
        <v>384.64615919080433</v>
      </c>
      <c r="O40" s="18">
        <v>1493.4036331389202</v>
      </c>
      <c r="R40">
        <v>1950</v>
      </c>
      <c r="S40">
        <f t="shared" si="7"/>
        <v>1925</v>
      </c>
      <c r="T40" s="30">
        <f t="shared" si="3"/>
        <v>5.3571428571428568E-2</v>
      </c>
      <c r="U40">
        <f t="shared" si="8"/>
        <v>3</v>
      </c>
      <c r="V40">
        <f t="shared" si="4"/>
        <v>49</v>
      </c>
    </row>
    <row r="41" spans="4:22" x14ac:dyDescent="0.2">
      <c r="D41">
        <v>40</v>
      </c>
      <c r="E41" s="29">
        <f t="shared" ca="1" si="0"/>
        <v>118.1354297414567</v>
      </c>
      <c r="F41" s="29">
        <f t="shared" ca="1" si="1"/>
        <v>24.452840382520968</v>
      </c>
      <c r="G41" s="29">
        <f ca="1">_xll.RiskUniform($L$2,$M$2)</f>
        <v>75.602331177212577</v>
      </c>
      <c r="H41" s="29">
        <f ca="1">_xll.RiskUniform($L$3,$M$3)</f>
        <v>120.63963346666675</v>
      </c>
      <c r="I41" s="2">
        <f t="shared" ca="1" si="2"/>
        <v>120.63963346666677</v>
      </c>
      <c r="O41" s="18">
        <v>1547.4027921772497</v>
      </c>
      <c r="R41">
        <v>2000</v>
      </c>
      <c r="S41">
        <f t="shared" si="7"/>
        <v>1975</v>
      </c>
      <c r="T41" s="30">
        <f t="shared" si="3"/>
        <v>1.7857142857142856E-2</v>
      </c>
      <c r="U41">
        <f t="shared" si="8"/>
        <v>1</v>
      </c>
      <c r="V41">
        <f t="shared" si="4"/>
        <v>50</v>
      </c>
    </row>
    <row r="42" spans="4:22" x14ac:dyDescent="0.2">
      <c r="D42">
        <v>41</v>
      </c>
      <c r="E42" s="29">
        <f t="shared" ca="1" si="0"/>
        <v>-780.53445203520221</v>
      </c>
      <c r="F42" s="29">
        <f t="shared" ca="1" si="1"/>
        <v>838.92788584712889</v>
      </c>
      <c r="G42" s="29">
        <f ca="1">_xll.RiskUniform($L$2,$M$2)</f>
        <v>102.8511177226851</v>
      </c>
      <c r="H42" s="29">
        <f ca="1">_xll.RiskUniform($L$3,$M$3)</f>
        <v>1145.8769691663354</v>
      </c>
      <c r="I42" s="2">
        <f t="shared" ca="1" si="2"/>
        <v>1145.8769691663354</v>
      </c>
      <c r="O42" s="18">
        <v>1559.5498429382476</v>
      </c>
      <c r="R42">
        <v>2050</v>
      </c>
      <c r="S42">
        <f t="shared" si="7"/>
        <v>2025</v>
      </c>
      <c r="T42" s="30">
        <f t="shared" si="3"/>
        <v>3.5714285714285712E-2</v>
      </c>
      <c r="U42">
        <f t="shared" si="8"/>
        <v>2</v>
      </c>
      <c r="V42">
        <f t="shared" si="4"/>
        <v>52</v>
      </c>
    </row>
    <row r="43" spans="4:22" x14ac:dyDescent="0.2">
      <c r="D43">
        <v>42</v>
      </c>
      <c r="E43" s="29">
        <f t="shared" ca="1" si="0"/>
        <v>-803.97510802893908</v>
      </c>
      <c r="F43" s="29">
        <f t="shared" ca="1" si="1"/>
        <v>457.90513212513241</v>
      </c>
      <c r="G43" s="29">
        <f ca="1">_xll.RiskUniform($L$2,$M$2)</f>
        <v>209.96897793422943</v>
      </c>
      <c r="H43" s="29">
        <f ca="1">_xll.RiskUniform($L$3,$M$3)</f>
        <v>925.23136801379542</v>
      </c>
      <c r="I43" s="2">
        <f t="shared" ca="1" si="2"/>
        <v>925.23136801379542</v>
      </c>
      <c r="O43" s="18">
        <v>1563.179609502954</v>
      </c>
      <c r="R43">
        <v>2100</v>
      </c>
      <c r="S43">
        <f t="shared" si="7"/>
        <v>2075</v>
      </c>
      <c r="T43" s="30">
        <f t="shared" si="3"/>
        <v>1.7857142857142856E-2</v>
      </c>
      <c r="U43">
        <f t="shared" si="8"/>
        <v>1</v>
      </c>
      <c r="V43">
        <f t="shared" si="4"/>
        <v>53</v>
      </c>
    </row>
    <row r="44" spans="4:22" x14ac:dyDescent="0.2">
      <c r="D44">
        <v>43</v>
      </c>
      <c r="E44" s="29">
        <f t="shared" ca="1" si="0"/>
        <v>1276.6220958894485</v>
      </c>
      <c r="F44" s="29">
        <f t="shared" ca="1" si="1"/>
        <v>238.99288847593186</v>
      </c>
      <c r="G44" s="29">
        <f ca="1">_xll.RiskUniform($L$2,$M$2)</f>
        <v>201.24699493950831</v>
      </c>
      <c r="H44" s="29">
        <f ca="1">_xll.RiskUniform($L$3,$M$3)</f>
        <v>1298.800052531273</v>
      </c>
      <c r="I44" s="2">
        <f t="shared" ca="1" si="2"/>
        <v>1298.800052531273</v>
      </c>
      <c r="O44" s="18">
        <v>1632.8767153731624</v>
      </c>
      <c r="R44">
        <v>2150</v>
      </c>
      <c r="S44">
        <f t="shared" si="7"/>
        <v>2125</v>
      </c>
      <c r="T44" s="30">
        <f t="shared" si="3"/>
        <v>0</v>
      </c>
      <c r="U44">
        <f t="shared" si="8"/>
        <v>0</v>
      </c>
      <c r="V44">
        <f t="shared" si="4"/>
        <v>53</v>
      </c>
    </row>
    <row r="45" spans="4:22" x14ac:dyDescent="0.2">
      <c r="D45">
        <v>44</v>
      </c>
      <c r="E45" s="29">
        <f t="shared" ca="1" si="0"/>
        <v>1573.9043973730022</v>
      </c>
      <c r="F45" s="29">
        <f t="shared" ca="1" si="1"/>
        <v>-1800.6724848673159</v>
      </c>
      <c r="G45" s="29">
        <f ca="1">_xll.RiskUniform($L$2,$M$2)</f>
        <v>313.30676910350667</v>
      </c>
      <c r="H45" s="29">
        <f ca="1">_xll.RiskUniform($L$3,$M$3)</f>
        <v>2391.5677807305206</v>
      </c>
      <c r="I45" s="2">
        <f t="shared" ca="1" si="2"/>
        <v>2391.5677807305206</v>
      </c>
      <c r="O45" s="18">
        <v>1741.6179322707985</v>
      </c>
      <c r="R45">
        <v>2200</v>
      </c>
      <c r="S45">
        <f t="shared" si="7"/>
        <v>2175</v>
      </c>
      <c r="T45" s="30">
        <f t="shared" si="3"/>
        <v>0</v>
      </c>
      <c r="U45">
        <f t="shared" si="8"/>
        <v>0</v>
      </c>
      <c r="V45">
        <f t="shared" si="4"/>
        <v>53</v>
      </c>
    </row>
    <row r="46" spans="4:22" x14ac:dyDescent="0.2">
      <c r="D46">
        <v>45</v>
      </c>
      <c r="E46" s="29">
        <f t="shared" ca="1" si="0"/>
        <v>-859.62152714338492</v>
      </c>
      <c r="F46" s="29">
        <f t="shared" ca="1" si="1"/>
        <v>93.068999623596227</v>
      </c>
      <c r="G46" s="29">
        <f ca="1">_xll.RiskUniform($L$2,$M$2)</f>
        <v>342.32575190776123</v>
      </c>
      <c r="H46" s="29">
        <f ca="1">_xll.RiskUniform($L$3,$M$3)</f>
        <v>864.64501884834931</v>
      </c>
      <c r="I46" s="2">
        <f t="shared" ca="1" si="2"/>
        <v>864.6450188483492</v>
      </c>
      <c r="O46" s="18">
        <v>1817.4366161006408</v>
      </c>
      <c r="R46">
        <v>2250</v>
      </c>
      <c r="S46">
        <f t="shared" si="7"/>
        <v>2225</v>
      </c>
      <c r="T46" s="30">
        <f t="shared" si="3"/>
        <v>1.7857142857142856E-2</v>
      </c>
      <c r="U46">
        <f t="shared" si="8"/>
        <v>1</v>
      </c>
      <c r="V46">
        <f t="shared" si="4"/>
        <v>54</v>
      </c>
    </row>
    <row r="47" spans="4:22" x14ac:dyDescent="0.2">
      <c r="D47">
        <v>46</v>
      </c>
      <c r="E47" s="29">
        <f t="shared" ca="1" si="0"/>
        <v>72.135590172137924</v>
      </c>
      <c r="F47" s="29">
        <f t="shared" ca="1" si="1"/>
        <v>870.06706163681304</v>
      </c>
      <c r="G47" s="29">
        <f ca="1">_xll.RiskUniform($L$2,$M$2)</f>
        <v>284.23141625266948</v>
      </c>
      <c r="H47" s="29">
        <f ca="1">_xll.RiskUniform($L$3,$M$3)</f>
        <v>873.05225222480271</v>
      </c>
      <c r="I47" s="2">
        <f t="shared" ca="1" si="2"/>
        <v>873.0522522248026</v>
      </c>
      <c r="O47" s="18">
        <v>1885.172308200154</v>
      </c>
      <c r="R47">
        <v>2300</v>
      </c>
      <c r="S47">
        <f t="shared" si="7"/>
        <v>2275</v>
      </c>
      <c r="T47" s="30">
        <f t="shared" si="3"/>
        <v>0</v>
      </c>
      <c r="U47">
        <f t="shared" si="8"/>
        <v>0</v>
      </c>
      <c r="V47">
        <f t="shared" si="4"/>
        <v>54</v>
      </c>
    </row>
    <row r="48" spans="4:22" x14ac:dyDescent="0.2">
      <c r="D48">
        <v>47</v>
      </c>
      <c r="E48" s="29">
        <f t="shared" ca="1" si="0"/>
        <v>1353.9411072190917</v>
      </c>
      <c r="F48" s="29">
        <f t="shared" ca="1" si="1"/>
        <v>1385.6142611784164</v>
      </c>
      <c r="G48" s="29">
        <f ca="1">_xll.RiskUniform($L$2,$M$2)</f>
        <v>208.14207420660262</v>
      </c>
      <c r="H48" s="29">
        <f ca="1">_xll.RiskUniform($L$3,$M$3)</f>
        <v>1937.2876406457221</v>
      </c>
      <c r="I48" s="2">
        <f t="shared" ca="1" si="2"/>
        <v>1937.2876406457221</v>
      </c>
      <c r="O48" s="18">
        <v>1922.0693335219735</v>
      </c>
      <c r="R48">
        <v>2350</v>
      </c>
      <c r="S48">
        <f t="shared" si="7"/>
        <v>2325</v>
      </c>
      <c r="T48" s="30">
        <f t="shared" si="3"/>
        <v>0</v>
      </c>
      <c r="U48">
        <f t="shared" si="8"/>
        <v>0</v>
      </c>
      <c r="V48">
        <f t="shared" si="4"/>
        <v>54</v>
      </c>
    </row>
    <row r="49" spans="4:22" x14ac:dyDescent="0.2">
      <c r="D49">
        <v>48</v>
      </c>
      <c r="E49" s="29">
        <f t="shared" ca="1" si="0"/>
        <v>1341.8690900269635</v>
      </c>
      <c r="F49" s="29">
        <f t="shared" ca="1" si="1"/>
        <v>281.09147764992207</v>
      </c>
      <c r="G49" s="29">
        <f ca="1">_xll.RiskUniform($L$2,$M$2)</f>
        <v>81.887900772073138</v>
      </c>
      <c r="H49" s="29">
        <f ca="1">_xll.RiskUniform($L$3,$M$3)</f>
        <v>1370.9941916642856</v>
      </c>
      <c r="I49" s="2">
        <f t="shared" ca="1" si="2"/>
        <v>1370.9941916642856</v>
      </c>
      <c r="O49" s="18">
        <v>1940.1546379629353</v>
      </c>
      <c r="R49">
        <v>2400</v>
      </c>
      <c r="S49">
        <f t="shared" si="7"/>
        <v>2375</v>
      </c>
      <c r="T49" s="30">
        <f t="shared" si="3"/>
        <v>3.5714285714285712E-2</v>
      </c>
      <c r="U49">
        <f t="shared" si="8"/>
        <v>2</v>
      </c>
      <c r="V49">
        <f t="shared" si="4"/>
        <v>56</v>
      </c>
    </row>
    <row r="50" spans="4:22" x14ac:dyDescent="0.2">
      <c r="D50">
        <v>49</v>
      </c>
      <c r="E50" s="29">
        <f t="shared" ca="1" si="0"/>
        <v>-585.06166824463401</v>
      </c>
      <c r="F50" s="29">
        <f t="shared" ca="1" si="1"/>
        <v>-224.75434779459687</v>
      </c>
      <c r="G50" s="29">
        <f ca="1">_xll.RiskUniform($L$2,$M$2)</f>
        <v>160.58799802247347</v>
      </c>
      <c r="H50" s="29">
        <f ca="1">_xll.RiskUniform($L$3,$M$3)</f>
        <v>626.74689668299811</v>
      </c>
      <c r="I50" s="2">
        <f t="shared" ca="1" si="2"/>
        <v>626.74689668299823</v>
      </c>
      <c r="O50" s="18">
        <v>1945.7273991287288</v>
      </c>
    </row>
    <row r="51" spans="4:22" x14ac:dyDescent="0.2">
      <c r="D51">
        <v>50</v>
      </c>
      <c r="E51" s="29">
        <f t="shared" ca="1" si="0"/>
        <v>376.65080098007206</v>
      </c>
      <c r="F51" s="29">
        <f t="shared" ca="1" si="1"/>
        <v>-1615.2186402649993</v>
      </c>
      <c r="G51" s="29">
        <f ca="1">_xll.RiskUniform($L$2,$M$2)</f>
        <v>293.9680079128741</v>
      </c>
      <c r="H51" s="29">
        <f ca="1">_xll.RiskUniform($L$3,$M$3)</f>
        <v>1658.5527069521918</v>
      </c>
      <c r="I51" s="2">
        <f t="shared" ca="1" si="2"/>
        <v>1658.5527069521918</v>
      </c>
      <c r="O51" s="18">
        <v>1958.9876428104672</v>
      </c>
    </row>
    <row r="52" spans="4:22" x14ac:dyDescent="0.2">
      <c r="D52">
        <v>51</v>
      </c>
      <c r="E52" s="29">
        <f t="shared" ca="1" si="0"/>
        <v>-2205.6932240128622</v>
      </c>
      <c r="F52" s="29">
        <f t="shared" ca="1" si="1"/>
        <v>97.397882623364666</v>
      </c>
      <c r="G52" s="29">
        <f ca="1">_xll.RiskUniform($L$2,$M$2)</f>
        <v>103.62842874281333</v>
      </c>
      <c r="H52" s="29">
        <f ca="1">_xll.RiskUniform($L$3,$M$3)</f>
        <v>2207.8425999141714</v>
      </c>
      <c r="I52" s="2">
        <f t="shared" ca="1" si="2"/>
        <v>2207.8425999141714</v>
      </c>
      <c r="O52" s="18">
        <v>2031.0950223251507</v>
      </c>
    </row>
    <row r="53" spans="4:22" x14ac:dyDescent="0.2">
      <c r="D53">
        <v>52</v>
      </c>
      <c r="E53" s="29">
        <f t="shared" ca="1" si="0"/>
        <v>218.86259176554077</v>
      </c>
      <c r="F53" s="29">
        <f t="shared" ca="1" si="1"/>
        <v>1020.6119277932798</v>
      </c>
      <c r="G53" s="29">
        <f ca="1">_xll.RiskUniform($L$2,$M$2)</f>
        <v>202.421482908423</v>
      </c>
      <c r="H53" s="29">
        <f ca="1">_xll.RiskUniform($L$3,$M$3)</f>
        <v>1043.8148979719751</v>
      </c>
      <c r="I53" s="2">
        <f t="shared" ca="1" si="2"/>
        <v>1043.8148979719751</v>
      </c>
      <c r="O53" s="18">
        <v>2049.388862119099</v>
      </c>
    </row>
    <row r="54" spans="4:22" x14ac:dyDescent="0.2">
      <c r="D54">
        <v>53</v>
      </c>
      <c r="E54" s="29">
        <f t="shared" ca="1" si="0"/>
        <v>760.8483130929028</v>
      </c>
      <c r="F54" s="29">
        <f t="shared" ca="1" si="1"/>
        <v>-1763.3897529052963</v>
      </c>
      <c r="G54" s="29">
        <f ca="1">_xll.RiskUniform($L$2,$M$2)</f>
        <v>49.102023438155392</v>
      </c>
      <c r="H54" s="29">
        <f ca="1">_xll.RiskUniform($L$3,$M$3)</f>
        <v>1920.5295041179966</v>
      </c>
      <c r="I54" s="2">
        <f t="shared" ca="1" si="2"/>
        <v>1920.5295041179966</v>
      </c>
      <c r="O54" s="18">
        <v>2093.6358665998137</v>
      </c>
    </row>
    <row r="55" spans="4:22" x14ac:dyDescent="0.2">
      <c r="D55">
        <v>54</v>
      </c>
      <c r="E55" s="29">
        <f t="shared" ca="1" si="0"/>
        <v>-211.67761924343702</v>
      </c>
      <c r="F55" s="29">
        <f t="shared" ca="1" si="1"/>
        <v>73.796187223256496</v>
      </c>
      <c r="G55" s="29">
        <f ca="1">_xll.RiskUniform($L$2,$M$2)</f>
        <v>46.788440128319593</v>
      </c>
      <c r="H55" s="29">
        <f ca="1">_xll.RiskUniform($L$3,$M$3)</f>
        <v>224.17245980998518</v>
      </c>
      <c r="I55" s="2">
        <f t="shared" ca="1" si="2"/>
        <v>224.17245980998518</v>
      </c>
      <c r="O55" s="18">
        <v>2237.3190995963637</v>
      </c>
    </row>
    <row r="56" spans="4:22" x14ac:dyDescent="0.2">
      <c r="D56">
        <v>55</v>
      </c>
      <c r="E56" s="29">
        <f t="shared" ca="1" si="0"/>
        <v>-524.88794851520856</v>
      </c>
      <c r="F56" s="29">
        <f t="shared" ca="1" si="1"/>
        <v>-606.93899629450311</v>
      </c>
      <c r="G56" s="29">
        <f ca="1">_xll.RiskUniform($L$2,$M$2)</f>
        <v>79.39758224617367</v>
      </c>
      <c r="H56" s="29">
        <f ca="1">_xll.RiskUniform($L$3,$M$3)</f>
        <v>802.42277118703657</v>
      </c>
      <c r="I56" s="2">
        <f t="shared" ca="1" si="2"/>
        <v>802.42277118703646</v>
      </c>
      <c r="O56" s="18">
        <v>2389.5881208434703</v>
      </c>
    </row>
    <row r="57" spans="4:22" x14ac:dyDescent="0.2">
      <c r="D57">
        <v>56</v>
      </c>
      <c r="E57" s="29">
        <f t="shared" ca="1" si="0"/>
        <v>128.88296268155142</v>
      </c>
      <c r="F57" s="29">
        <f t="shared" ca="1" si="1"/>
        <v>-2120.0549276485885</v>
      </c>
      <c r="G57" s="29">
        <f ca="1">_xll.RiskUniform($L$2,$M$2)</f>
        <v>262.38370412559277</v>
      </c>
      <c r="H57" s="29">
        <f ca="1">_xll.RiskUniform($L$3,$M$3)</f>
        <v>2123.9688590741239</v>
      </c>
      <c r="I57" s="2">
        <f t="shared" ca="1" si="2"/>
        <v>2123.9688590741239</v>
      </c>
      <c r="O57" s="18">
        <v>2399.3131548827805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Scenario1 Model v1</vt:lpstr>
      <vt:lpstr>Scenario2 Model v2</vt:lpstr>
      <vt:lpstr>DTDS Spatial Model Scen1</vt:lpstr>
      <vt:lpstr>DTDS Spatial Model Scen2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2023-03-01T16:21:02Z</dcterms:created>
  <dcterms:modified xsi:type="dcterms:W3CDTF">2023-03-01T16:21:08Z</dcterms:modified>
</cp:coreProperties>
</file>