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3320" activeTab="1"/>
  </bookViews>
  <sheets>
    <sheet name="入力" sheetId="3" r:id="rId1"/>
    <sheet name="計算" sheetId="2" r:id="rId2"/>
    <sheet name="リスト" sheetId="4" r:id="rId3"/>
  </sheets>
  <calcPr calcId="152511"/>
</workbook>
</file>

<file path=xl/calcChain.xml><?xml version="1.0" encoding="utf-8"?>
<calcChain xmlns="http://schemas.openxmlformats.org/spreadsheetml/2006/main">
  <c r="Q26" i="2" l="1"/>
  <c r="R26" i="2"/>
  <c r="P26" i="2"/>
  <c r="G86" i="2" l="1"/>
  <c r="G117" i="2" l="1"/>
  <c r="G115" i="2"/>
  <c r="G113" i="2"/>
  <c r="G111" i="2"/>
  <c r="G109" i="2"/>
  <c r="G107" i="2"/>
  <c r="G96" i="2"/>
  <c r="G94" i="2"/>
  <c r="G92" i="2"/>
  <c r="G90" i="2"/>
  <c r="G88" i="2"/>
  <c r="H96" i="2"/>
  <c r="H94" i="2"/>
  <c r="H92" i="2"/>
  <c r="H90" i="2"/>
  <c r="H88" i="2"/>
  <c r="H86" i="2"/>
  <c r="I96" i="2"/>
  <c r="I94" i="2"/>
  <c r="I92" i="2"/>
  <c r="I90" i="2"/>
  <c r="I88" i="2"/>
  <c r="I86" i="2"/>
  <c r="I66" i="2"/>
  <c r="I65" i="2"/>
  <c r="I64" i="2"/>
  <c r="H80" i="2"/>
  <c r="I80" i="2"/>
  <c r="G80" i="2"/>
  <c r="H76" i="2"/>
  <c r="I76" i="2"/>
  <c r="G76" i="2"/>
  <c r="H72" i="2"/>
  <c r="I72" i="2"/>
  <c r="G72" i="2"/>
  <c r="Q27" i="2" l="1"/>
  <c r="R27" i="2"/>
  <c r="P27" i="2"/>
  <c r="Q25" i="2"/>
  <c r="R25" i="2"/>
  <c r="P25" i="2"/>
  <c r="H42" i="2"/>
  <c r="I42" i="2"/>
  <c r="G42" i="2"/>
  <c r="H38" i="2"/>
  <c r="I38" i="2"/>
  <c r="G38" i="2"/>
  <c r="H34" i="2"/>
  <c r="I34" i="2"/>
  <c r="G34" i="2"/>
  <c r="L124" i="2"/>
  <c r="K123" i="2"/>
  <c r="L123" i="2"/>
  <c r="M123" i="2"/>
  <c r="K124" i="2"/>
  <c r="M124" i="2"/>
  <c r="L122" i="2"/>
  <c r="M122" i="2"/>
  <c r="K122" i="2"/>
  <c r="M96" i="2" l="1"/>
  <c r="L96" i="2"/>
  <c r="K96" i="2"/>
  <c r="M94" i="2"/>
  <c r="L94" i="2"/>
  <c r="K94" i="2"/>
  <c r="L88" i="2"/>
  <c r="M88" i="2"/>
  <c r="M90" i="2"/>
  <c r="L90" i="2"/>
  <c r="K88" i="2"/>
  <c r="K90" i="2"/>
  <c r="G48" i="2" l="1"/>
  <c r="H13" i="2" l="1"/>
  <c r="I13" i="2"/>
  <c r="G13" i="2"/>
  <c r="I105" i="2" l="1"/>
  <c r="I104" i="2"/>
  <c r="I103" i="2"/>
  <c r="H104" i="2"/>
  <c r="H105" i="2"/>
  <c r="H103" i="2"/>
  <c r="G103" i="2"/>
  <c r="G104" i="2"/>
  <c r="G105" i="2"/>
  <c r="H118" i="2"/>
  <c r="I118" i="2"/>
  <c r="H119" i="2"/>
  <c r="I119" i="2"/>
  <c r="H120" i="2"/>
  <c r="I120" i="2"/>
  <c r="H114" i="2"/>
  <c r="I114" i="2"/>
  <c r="H115" i="2"/>
  <c r="I115" i="2"/>
  <c r="H116" i="2"/>
  <c r="I116" i="2"/>
  <c r="H117" i="2"/>
  <c r="I117" i="2"/>
  <c r="H110" i="2"/>
  <c r="I110" i="2"/>
  <c r="H111" i="2"/>
  <c r="I111" i="2"/>
  <c r="H112" i="2"/>
  <c r="I112" i="2"/>
  <c r="H113" i="2"/>
  <c r="I113" i="2"/>
  <c r="H106" i="2"/>
  <c r="I106" i="2"/>
  <c r="H107" i="2"/>
  <c r="I107" i="2"/>
  <c r="H108" i="2"/>
  <c r="I108" i="2"/>
  <c r="H109" i="2"/>
  <c r="I109" i="2"/>
  <c r="G99" i="2"/>
  <c r="K99" i="2" s="1"/>
  <c r="G98" i="2"/>
  <c r="K98" i="2" s="1"/>
  <c r="G97" i="2"/>
  <c r="K97" i="2" s="1"/>
  <c r="H79" i="2" l="1"/>
  <c r="I79" i="2"/>
  <c r="H81" i="2"/>
  <c r="I81" i="2"/>
  <c r="G81" i="2"/>
  <c r="G79" i="2"/>
  <c r="H75" i="2"/>
  <c r="I75" i="2"/>
  <c r="H73" i="2"/>
  <c r="I73" i="2"/>
  <c r="G73" i="2"/>
  <c r="G69" i="2"/>
  <c r="G68" i="2"/>
  <c r="G67" i="2"/>
  <c r="H60" i="2"/>
  <c r="I60" i="2"/>
  <c r="H61" i="2"/>
  <c r="I61" i="2"/>
  <c r="H62" i="2"/>
  <c r="I62" i="2"/>
  <c r="H63" i="2"/>
  <c r="I63" i="2"/>
  <c r="H57" i="2"/>
  <c r="I57" i="2"/>
  <c r="H58" i="2"/>
  <c r="I58" i="2"/>
  <c r="H54" i="2"/>
  <c r="I54" i="2"/>
  <c r="H55" i="2"/>
  <c r="I55" i="2"/>
  <c r="G55" i="2"/>
  <c r="H50" i="2"/>
  <c r="L50" i="2" s="1"/>
  <c r="I50" i="2"/>
  <c r="M50" i="2" s="1"/>
  <c r="K48" i="2"/>
  <c r="G44" i="2"/>
  <c r="K44" i="2" s="1"/>
  <c r="H43" i="2"/>
  <c r="L43" i="2" s="1"/>
  <c r="I43" i="2"/>
  <c r="M43" i="2" s="1"/>
  <c r="H37" i="2"/>
  <c r="L37" i="2" s="1"/>
  <c r="I37" i="2"/>
  <c r="M37" i="2" s="1"/>
  <c r="G37" i="2"/>
  <c r="H35" i="2"/>
  <c r="L35" i="2" s="1"/>
  <c r="I35" i="2"/>
  <c r="M35" i="2" s="1"/>
  <c r="G35" i="2"/>
  <c r="H29" i="2"/>
  <c r="L29" i="2" s="1"/>
  <c r="I29" i="2"/>
  <c r="M29" i="2" s="1"/>
  <c r="H31" i="2"/>
  <c r="L31" i="2" s="1"/>
  <c r="I31" i="2"/>
  <c r="M31" i="2" s="1"/>
  <c r="I23" i="2"/>
  <c r="M23" i="2" s="1"/>
  <c r="H23" i="2"/>
  <c r="L23" i="2" s="1"/>
  <c r="G23" i="2"/>
  <c r="H14" i="2"/>
  <c r="H28" i="2" s="1"/>
  <c r="L28" i="2" s="1"/>
  <c r="I14" i="2"/>
  <c r="I28" i="2" s="1"/>
  <c r="M28" i="2" s="1"/>
  <c r="H15" i="2"/>
  <c r="I15" i="2"/>
  <c r="H16" i="2"/>
  <c r="H30" i="2" s="1"/>
  <c r="L30" i="2" s="1"/>
  <c r="I16" i="2"/>
  <c r="I30" i="2" s="1"/>
  <c r="M30" i="2" s="1"/>
  <c r="H17" i="2"/>
  <c r="I17" i="2"/>
  <c r="G14" i="2"/>
  <c r="G20" i="2" s="1"/>
  <c r="H12" i="2"/>
  <c r="G12" i="2"/>
  <c r="H82" i="2" l="1"/>
  <c r="H100" i="2"/>
  <c r="I101" i="2"/>
  <c r="H101" i="2"/>
  <c r="I102" i="2"/>
  <c r="H102" i="2"/>
  <c r="I100" i="2"/>
  <c r="G83" i="2"/>
  <c r="G102" i="2"/>
  <c r="G100" i="2"/>
  <c r="G101" i="2"/>
  <c r="H98" i="2"/>
  <c r="L98" i="2" s="1"/>
  <c r="H97" i="2"/>
  <c r="L97" i="2" s="1"/>
  <c r="H99" i="2"/>
  <c r="L99" i="2" s="1"/>
  <c r="I98" i="2"/>
  <c r="M98" i="2" s="1"/>
  <c r="I97" i="2"/>
  <c r="M97" i="2" s="1"/>
  <c r="I99" i="2"/>
  <c r="M99" i="2" s="1"/>
  <c r="H68" i="2"/>
  <c r="I68" i="2"/>
  <c r="H66" i="2"/>
  <c r="G24" i="2"/>
  <c r="H84" i="2"/>
  <c r="H44" i="2"/>
  <c r="L44" i="2" s="1"/>
  <c r="H64" i="2"/>
  <c r="H65" i="2"/>
  <c r="I69" i="2"/>
  <c r="H83" i="2"/>
  <c r="G82" i="2"/>
  <c r="G65" i="2"/>
  <c r="I67" i="2"/>
  <c r="H69" i="2"/>
  <c r="G84" i="2"/>
  <c r="G64" i="2"/>
  <c r="G66" i="2"/>
  <c r="H67" i="2"/>
  <c r="I44" i="2"/>
  <c r="M44" i="2" s="1"/>
  <c r="O38" i="2"/>
  <c r="O37" i="2"/>
  <c r="O39" i="2"/>
  <c r="O27" i="2" l="1"/>
  <c r="O21" i="2" s="1"/>
  <c r="O33" i="2" l="1"/>
  <c r="Q36" i="2" s="1"/>
  <c r="M120" i="2"/>
  <c r="L120" i="2"/>
  <c r="M119" i="2"/>
  <c r="L119" i="2"/>
  <c r="M118" i="2"/>
  <c r="L118" i="2"/>
  <c r="M114" i="2"/>
  <c r="M115" i="2"/>
  <c r="M116" i="2"/>
  <c r="M117" i="2"/>
  <c r="L117" i="2"/>
  <c r="L116" i="2"/>
  <c r="L115" i="2"/>
  <c r="L114" i="2"/>
  <c r="K115" i="2"/>
  <c r="K117" i="2"/>
  <c r="M112" i="2"/>
  <c r="M113" i="2"/>
  <c r="L113" i="2"/>
  <c r="L112" i="2"/>
  <c r="L111" i="2"/>
  <c r="M111" i="2"/>
  <c r="K111" i="2"/>
  <c r="M110" i="2"/>
  <c r="L110" i="2"/>
  <c r="M109" i="2"/>
  <c r="L109" i="2"/>
  <c r="M108" i="2"/>
  <c r="L108" i="2"/>
  <c r="K109" i="2"/>
  <c r="M107" i="2"/>
  <c r="L107" i="2"/>
  <c r="M106" i="2"/>
  <c r="L106" i="2"/>
  <c r="M105" i="2"/>
  <c r="M104" i="2"/>
  <c r="M103" i="2"/>
  <c r="M102" i="2"/>
  <c r="M101" i="2"/>
  <c r="M100" i="2"/>
  <c r="E90" i="2"/>
  <c r="E94" i="2" s="1"/>
  <c r="E91" i="2"/>
  <c r="E95" i="2" s="1"/>
  <c r="E92" i="2"/>
  <c r="E96" i="2" s="1"/>
  <c r="E89" i="2"/>
  <c r="E93" i="2" s="1"/>
  <c r="L81" i="2"/>
  <c r="M81" i="2"/>
  <c r="K81" i="2"/>
  <c r="L79" i="2"/>
  <c r="M79" i="2"/>
  <c r="K79" i="2"/>
  <c r="L75" i="2"/>
  <c r="M75" i="2"/>
  <c r="G75" i="2"/>
  <c r="K75" i="2" s="1"/>
  <c r="L73" i="2"/>
  <c r="M73" i="2"/>
  <c r="K73" i="2"/>
  <c r="K69" i="2"/>
  <c r="K68" i="2"/>
  <c r="K67" i="2"/>
  <c r="L60" i="2"/>
  <c r="M60" i="2"/>
  <c r="L61" i="2"/>
  <c r="M61" i="2"/>
  <c r="L62" i="2"/>
  <c r="M62" i="2"/>
  <c r="L63" i="2"/>
  <c r="M63" i="2"/>
  <c r="G63" i="2"/>
  <c r="K63" i="2" s="1"/>
  <c r="G62" i="2"/>
  <c r="K62" i="2" s="1"/>
  <c r="G61" i="2"/>
  <c r="K61" i="2" s="1"/>
  <c r="G60" i="2"/>
  <c r="K60" i="2" s="1"/>
  <c r="L57" i="2"/>
  <c r="M57" i="2"/>
  <c r="L58" i="2"/>
  <c r="M58" i="2"/>
  <c r="G58" i="2"/>
  <c r="K58" i="2" s="1"/>
  <c r="G57" i="2"/>
  <c r="K57" i="2" s="1"/>
  <c r="L54" i="2"/>
  <c r="M54" i="2"/>
  <c r="L55" i="2"/>
  <c r="M55" i="2"/>
  <c r="K55" i="2"/>
  <c r="G54" i="2"/>
  <c r="K54" i="2" s="1"/>
  <c r="C40" i="2"/>
  <c r="C60" i="2" s="1"/>
  <c r="C66" i="2" s="1"/>
  <c r="C69" i="2" s="1"/>
  <c r="H41" i="2"/>
  <c r="L41" i="2" s="1"/>
  <c r="I41" i="2"/>
  <c r="M41" i="2" s="1"/>
  <c r="G43" i="2"/>
  <c r="K43" i="2" s="1"/>
  <c r="G41" i="2"/>
  <c r="K41" i="2" s="1"/>
  <c r="K37" i="2"/>
  <c r="K35" i="2"/>
  <c r="G31" i="2"/>
  <c r="K31" i="2" s="1"/>
  <c r="G29" i="2"/>
  <c r="K29" i="2" s="1"/>
  <c r="H25" i="2"/>
  <c r="L25" i="2" s="1"/>
  <c r="I25" i="2"/>
  <c r="M25" i="2" s="1"/>
  <c r="G25" i="2"/>
  <c r="K25" i="2" s="1"/>
  <c r="H27" i="2"/>
  <c r="L27" i="2" s="1"/>
  <c r="I27" i="2"/>
  <c r="M27" i="2" s="1"/>
  <c r="G17" i="2"/>
  <c r="K23" i="2" s="1"/>
  <c r="G15" i="2"/>
  <c r="G16" i="2"/>
  <c r="K20" i="2"/>
  <c r="H21" i="2"/>
  <c r="L21" i="2" s="1"/>
  <c r="I21" i="2"/>
  <c r="M21" i="2" s="1"/>
  <c r="G2" i="2"/>
  <c r="H19" i="2"/>
  <c r="G19" i="2"/>
  <c r="H9" i="2"/>
  <c r="H48" i="2" s="1"/>
  <c r="I9" i="2"/>
  <c r="I48" i="2" s="1"/>
  <c r="G9" i="2"/>
  <c r="G7" i="2"/>
  <c r="G13" i="3"/>
  <c r="F13" i="3"/>
  <c r="E13" i="3"/>
  <c r="H11" i="2" l="1"/>
  <c r="H71" i="2" s="1"/>
  <c r="L71" i="2" s="1"/>
  <c r="H49" i="2"/>
  <c r="L49" i="2" s="1"/>
  <c r="L48" i="2"/>
  <c r="G22" i="2"/>
  <c r="K22" i="2" s="1"/>
  <c r="I11" i="2"/>
  <c r="I12" i="2"/>
  <c r="I19" i="2" s="1"/>
  <c r="I49" i="2" s="1"/>
  <c r="M49" i="2" s="1"/>
  <c r="M48" i="2"/>
  <c r="G21" i="2"/>
  <c r="K21" i="2" s="1"/>
  <c r="H78" i="2"/>
  <c r="L78" i="2" s="1"/>
  <c r="L80" i="2"/>
  <c r="Q21" i="2" s="1"/>
  <c r="H74" i="2"/>
  <c r="L74" i="2" s="1"/>
  <c r="L76" i="2"/>
  <c r="G74" i="2"/>
  <c r="G70" i="2"/>
  <c r="K70" i="2" s="1"/>
  <c r="I56" i="2"/>
  <c r="M56" i="2" s="1"/>
  <c r="I52" i="2"/>
  <c r="M52" i="2" s="1"/>
  <c r="G52" i="2"/>
  <c r="I78" i="2"/>
  <c r="M78" i="2" s="1"/>
  <c r="M80" i="2"/>
  <c r="K80" i="2"/>
  <c r="P21" i="2" s="1"/>
  <c r="I74" i="2"/>
  <c r="M76" i="2"/>
  <c r="L72" i="2"/>
  <c r="H59" i="2"/>
  <c r="L59" i="2" s="1"/>
  <c r="H53" i="2"/>
  <c r="L53" i="2" s="1"/>
  <c r="G78" i="2"/>
  <c r="K78" i="2" s="1"/>
  <c r="H56" i="2"/>
  <c r="L56" i="2" s="1"/>
  <c r="H52" i="2"/>
  <c r="L52" i="2" s="1"/>
  <c r="M72" i="2"/>
  <c r="H70" i="2"/>
  <c r="L70" i="2" s="1"/>
  <c r="I59" i="2"/>
  <c r="M59" i="2" s="1"/>
  <c r="I53" i="2"/>
  <c r="I70" i="2"/>
  <c r="M70" i="2" s="1"/>
  <c r="G50" i="2"/>
  <c r="K50" i="2" s="1"/>
  <c r="G49" i="2"/>
  <c r="K49" i="2" s="1"/>
  <c r="G5" i="2"/>
  <c r="G4" i="2"/>
  <c r="G3" i="2"/>
  <c r="C15" i="2" s="1"/>
  <c r="L19" i="2"/>
  <c r="G11" i="2"/>
  <c r="K19" i="2"/>
  <c r="K101" i="2"/>
  <c r="L102" i="2"/>
  <c r="K105" i="2"/>
  <c r="K100" i="2"/>
  <c r="L101" i="2"/>
  <c r="K104" i="2"/>
  <c r="L105" i="2"/>
  <c r="K66" i="2"/>
  <c r="L100" i="2"/>
  <c r="K103" i="2"/>
  <c r="L104" i="2"/>
  <c r="K102" i="2"/>
  <c r="L103" i="2"/>
  <c r="L82" i="2"/>
  <c r="L66" i="2"/>
  <c r="K74" i="2"/>
  <c r="K82" i="2"/>
  <c r="L68" i="2"/>
  <c r="K65" i="2"/>
  <c r="L65" i="2"/>
  <c r="L67" i="2"/>
  <c r="L69" i="2"/>
  <c r="K72" i="2"/>
  <c r="K76" i="2"/>
  <c r="K83" i="2"/>
  <c r="K84" i="2"/>
  <c r="M68" i="2"/>
  <c r="M74" i="2"/>
  <c r="K64" i="2"/>
  <c r="L64" i="2"/>
  <c r="M67" i="2"/>
  <c r="M69" i="2"/>
  <c r="L83" i="2"/>
  <c r="L84" i="2"/>
  <c r="C78" i="2"/>
  <c r="G56" i="2"/>
  <c r="K56" i="2" s="1"/>
  <c r="K52" i="2"/>
  <c r="M53" i="2"/>
  <c r="G53" i="2"/>
  <c r="K53" i="2" s="1"/>
  <c r="G59" i="2"/>
  <c r="K59" i="2" s="1"/>
  <c r="K24" i="2"/>
  <c r="G28" i="2"/>
  <c r="K28" i="2" s="1"/>
  <c r="D20" i="2"/>
  <c r="D24" i="2" s="1"/>
  <c r="D28" i="2" s="1"/>
  <c r="D32" i="2" s="1"/>
  <c r="I20" i="2"/>
  <c r="I22" i="2"/>
  <c r="M22" i="2" s="1"/>
  <c r="H22" i="2"/>
  <c r="L22" i="2" s="1"/>
  <c r="H20" i="2"/>
  <c r="G26" i="2"/>
  <c r="K26" i="2" s="1"/>
  <c r="I26" i="2"/>
  <c r="M26" i="2" s="1"/>
  <c r="I24" i="2"/>
  <c r="M24" i="2" s="1"/>
  <c r="G30" i="2"/>
  <c r="K30" i="2" s="1"/>
  <c r="C14" i="2"/>
  <c r="G27" i="2"/>
  <c r="H26" i="2"/>
  <c r="L26" i="2" s="1"/>
  <c r="H24" i="2"/>
  <c r="L24" i="2" s="1"/>
  <c r="I10" i="2"/>
  <c r="H10" i="2"/>
  <c r="G10" i="2"/>
  <c r="R19" i="2" l="1"/>
  <c r="I95" i="2"/>
  <c r="M95" i="2" s="1"/>
  <c r="I89" i="2"/>
  <c r="M89" i="2" s="1"/>
  <c r="I91" i="2"/>
  <c r="M91" i="2" s="1"/>
  <c r="I93" i="2"/>
  <c r="M93" i="2" s="1"/>
  <c r="I87" i="2"/>
  <c r="M87" i="2" s="1"/>
  <c r="I85" i="2"/>
  <c r="M85" i="2" s="1"/>
  <c r="I77" i="2"/>
  <c r="M77" i="2" s="1"/>
  <c r="M92" i="2"/>
  <c r="M86" i="2"/>
  <c r="H91" i="2"/>
  <c r="L91" i="2" s="1"/>
  <c r="H85" i="2"/>
  <c r="L85" i="2" s="1"/>
  <c r="H95" i="2"/>
  <c r="L95" i="2" s="1"/>
  <c r="H93" i="2"/>
  <c r="L93" i="2" s="1"/>
  <c r="H89" i="2"/>
  <c r="L89" i="2" s="1"/>
  <c r="H87" i="2"/>
  <c r="L87" i="2" s="1"/>
  <c r="H77" i="2"/>
  <c r="L77" i="2" s="1"/>
  <c r="L92" i="2"/>
  <c r="Q20" i="2" s="1"/>
  <c r="L86" i="2"/>
  <c r="Q19" i="2" s="1"/>
  <c r="K86" i="2"/>
  <c r="P19" i="2" s="1"/>
  <c r="K92" i="2"/>
  <c r="P20" i="2" s="1"/>
  <c r="G118" i="2"/>
  <c r="G119" i="2"/>
  <c r="G120" i="2"/>
  <c r="G95" i="2"/>
  <c r="K95" i="2" s="1"/>
  <c r="G91" i="2"/>
  <c r="K91" i="2" s="1"/>
  <c r="G87" i="2"/>
  <c r="K87" i="2" s="1"/>
  <c r="G85" i="2"/>
  <c r="K85" i="2" s="1"/>
  <c r="G93" i="2"/>
  <c r="K93" i="2" s="1"/>
  <c r="G89" i="2"/>
  <c r="K89" i="2" s="1"/>
  <c r="G114" i="2"/>
  <c r="G110" i="2"/>
  <c r="G106" i="2"/>
  <c r="G116" i="2"/>
  <c r="G112" i="2"/>
  <c r="G108" i="2"/>
  <c r="L20" i="2"/>
  <c r="G71" i="2"/>
  <c r="K71" i="2" s="1"/>
  <c r="M20" i="2"/>
  <c r="I36" i="2"/>
  <c r="M36" i="2" s="1"/>
  <c r="I32" i="2"/>
  <c r="M32" i="2" s="1"/>
  <c r="M64" i="2"/>
  <c r="I40" i="2"/>
  <c r="M40" i="2" s="1"/>
  <c r="M65" i="2"/>
  <c r="R20" i="2" s="1"/>
  <c r="M42" i="2"/>
  <c r="M38" i="2"/>
  <c r="M66" i="2"/>
  <c r="R21" i="2" s="1"/>
  <c r="M34" i="2"/>
  <c r="K38" i="2"/>
  <c r="K34" i="2"/>
  <c r="G40" i="2"/>
  <c r="G36" i="2"/>
  <c r="G32" i="2"/>
  <c r="H40" i="2"/>
  <c r="L40" i="2" s="1"/>
  <c r="H32" i="2"/>
  <c r="L32" i="2" s="1"/>
  <c r="L42" i="2"/>
  <c r="L38" i="2"/>
  <c r="H36" i="2"/>
  <c r="L36" i="2" s="1"/>
  <c r="L34" i="2"/>
  <c r="G45" i="2"/>
  <c r="K45" i="2" s="1"/>
  <c r="G39" i="2"/>
  <c r="G47" i="2"/>
  <c r="K47" i="2" s="1"/>
  <c r="G46" i="2"/>
  <c r="K46" i="2" s="1"/>
  <c r="G33" i="2"/>
  <c r="K33" i="2" s="1"/>
  <c r="I84" i="2"/>
  <c r="M84" i="2" s="1"/>
  <c r="I45" i="2"/>
  <c r="M45" i="2" s="1"/>
  <c r="I39" i="2"/>
  <c r="M39" i="2" s="1"/>
  <c r="I47" i="2"/>
  <c r="M47" i="2" s="1"/>
  <c r="I46" i="2"/>
  <c r="M46" i="2" s="1"/>
  <c r="I82" i="2"/>
  <c r="I33" i="2"/>
  <c r="M33" i="2" s="1"/>
  <c r="I83" i="2"/>
  <c r="M83" i="2" s="1"/>
  <c r="I71" i="2"/>
  <c r="M71" i="2" s="1"/>
  <c r="H46" i="2"/>
  <c r="L46" i="2" s="1"/>
  <c r="H33" i="2"/>
  <c r="L33" i="2" s="1"/>
  <c r="H45" i="2"/>
  <c r="L45" i="2" s="1"/>
  <c r="H47" i="2"/>
  <c r="L47" i="2" s="1"/>
  <c r="H39" i="2"/>
  <c r="L39" i="2" s="1"/>
  <c r="D21" i="2"/>
  <c r="D25" i="2" s="1"/>
  <c r="D29" i="2" s="1"/>
  <c r="D33" i="2" s="1"/>
  <c r="D53" i="2" s="1"/>
  <c r="D71" i="2" s="1"/>
  <c r="C45" i="2"/>
  <c r="C20" i="2"/>
  <c r="C32" i="2" s="1"/>
  <c r="C52" i="2" s="1"/>
  <c r="C64" i="2" s="1"/>
  <c r="C67" i="2" s="1"/>
  <c r="K113" i="2"/>
  <c r="G77" i="2"/>
  <c r="K77" i="2" s="1"/>
  <c r="M19" i="2"/>
  <c r="K39" i="2"/>
  <c r="K107" i="2"/>
  <c r="K27" i="2"/>
  <c r="K110" i="2"/>
  <c r="K114" i="2"/>
  <c r="K108" i="2"/>
  <c r="K116" i="2"/>
  <c r="K112" i="2"/>
  <c r="K120" i="2"/>
  <c r="K118" i="2"/>
  <c r="C84" i="2"/>
  <c r="C102" i="2" s="1"/>
  <c r="C93" i="2"/>
  <c r="C99" i="2" s="1"/>
  <c r="M82" i="2"/>
  <c r="D36" i="2"/>
  <c r="D52" i="2"/>
  <c r="D70" i="2" s="1"/>
  <c r="C17" i="2"/>
  <c r="C24" i="2"/>
  <c r="C46" i="2"/>
  <c r="D23" i="2"/>
  <c r="D27" i="2" s="1"/>
  <c r="D31" i="2" s="1"/>
  <c r="D35" i="2" s="1"/>
  <c r="C16" i="2"/>
  <c r="D22" i="2"/>
  <c r="D26" i="2" s="1"/>
  <c r="D30" i="2" s="1"/>
  <c r="D34" i="2" s="1"/>
  <c r="K42" i="2"/>
  <c r="K106" i="2" l="1"/>
  <c r="K119" i="2"/>
  <c r="K36" i="2"/>
  <c r="K40" i="2"/>
  <c r="K32" i="2"/>
  <c r="D37" i="2"/>
  <c r="O25" i="2"/>
  <c r="O19" i="2" s="1"/>
  <c r="C70" i="2"/>
  <c r="C85" i="2" s="1"/>
  <c r="C97" i="2" s="1"/>
  <c r="C36" i="2"/>
  <c r="C56" i="2" s="1"/>
  <c r="C74" i="2" s="1"/>
  <c r="O26" i="2"/>
  <c r="D86" i="2"/>
  <c r="D90" i="2" s="1"/>
  <c r="D94" i="2" s="1"/>
  <c r="D107" i="2"/>
  <c r="D85" i="2"/>
  <c r="D89" i="2" s="1"/>
  <c r="D93" i="2" s="1"/>
  <c r="D106" i="2"/>
  <c r="C105" i="2"/>
  <c r="C120" i="2" s="1"/>
  <c r="C114" i="2"/>
  <c r="D40" i="2"/>
  <c r="D60" i="2" s="1"/>
  <c r="D78" i="2" s="1"/>
  <c r="D114" i="2" s="1"/>
  <c r="D56" i="2"/>
  <c r="D74" i="2" s="1"/>
  <c r="D110" i="2" s="1"/>
  <c r="D54" i="2"/>
  <c r="D72" i="2" s="1"/>
  <c r="D38" i="2"/>
  <c r="D57" i="2"/>
  <c r="D75" i="2" s="1"/>
  <c r="D111" i="2" s="1"/>
  <c r="D41" i="2"/>
  <c r="D61" i="2" s="1"/>
  <c r="D79" i="2" s="1"/>
  <c r="D115" i="2" s="1"/>
  <c r="D55" i="2"/>
  <c r="D73" i="2" s="1"/>
  <c r="D39" i="2"/>
  <c r="C82" i="2" l="1"/>
  <c r="O31" i="2"/>
  <c r="P36" i="2" s="1"/>
  <c r="P31" i="2"/>
  <c r="P39" i="2" s="1"/>
  <c r="Q43" i="2" s="1"/>
  <c r="C100" i="2"/>
  <c r="C103" i="2" s="1"/>
  <c r="C118" i="2" s="1"/>
  <c r="Q32" i="2"/>
  <c r="R38" i="2" s="1"/>
  <c r="Q50" i="2" s="1"/>
  <c r="R32" i="2"/>
  <c r="R37" i="2" s="1"/>
  <c r="Q54" i="2" s="1"/>
  <c r="Q33" i="2"/>
  <c r="Q38" i="2" s="1"/>
  <c r="Q48" i="2" s="1"/>
  <c r="Q49" i="2" s="1"/>
  <c r="R33" i="2"/>
  <c r="Q37" i="2" s="1"/>
  <c r="Q52" i="2" s="1"/>
  <c r="Q53" i="2" s="1"/>
  <c r="P32" i="2"/>
  <c r="R39" i="2" s="1"/>
  <c r="Q46" i="2" s="1"/>
  <c r="O20" i="2"/>
  <c r="O32" i="2"/>
  <c r="R36" i="2" s="1"/>
  <c r="P33" i="2"/>
  <c r="Q39" i="2" s="1"/>
  <c r="Q44" i="2" s="1"/>
  <c r="Q45" i="2" s="1"/>
  <c r="R31" i="2"/>
  <c r="P37" i="2" s="1"/>
  <c r="Q51" i="2" s="1"/>
  <c r="Q31" i="2"/>
  <c r="P38" i="2" s="1"/>
  <c r="Q47" i="2" s="1"/>
  <c r="C65" i="2"/>
  <c r="C68" i="2" s="1"/>
  <c r="D88" i="2"/>
  <c r="D92" i="2" s="1"/>
  <c r="D96" i="2" s="1"/>
  <c r="D109" i="2"/>
  <c r="D87" i="2"/>
  <c r="D91" i="2" s="1"/>
  <c r="D95" i="2" s="1"/>
  <c r="D108" i="2"/>
  <c r="C83" i="2"/>
  <c r="C101" i="2" s="1"/>
  <c r="C89" i="2"/>
  <c r="C98" i="2" s="1"/>
  <c r="D59" i="2"/>
  <c r="D77" i="2" s="1"/>
  <c r="D113" i="2" s="1"/>
  <c r="D43" i="2"/>
  <c r="D63" i="2" s="1"/>
  <c r="D81" i="2" s="1"/>
  <c r="D117" i="2" s="1"/>
  <c r="D58" i="2"/>
  <c r="D76" i="2" s="1"/>
  <c r="D112" i="2" s="1"/>
  <c r="D42" i="2"/>
  <c r="D62" i="2" s="1"/>
  <c r="D80" i="2" s="1"/>
  <c r="D116" i="2" s="1"/>
  <c r="C106" i="2" l="1"/>
  <c r="C104" i="2"/>
  <c r="C119" i="2" s="1"/>
  <c r="C110" i="2"/>
</calcChain>
</file>

<file path=xl/sharedStrings.xml><?xml version="1.0" encoding="utf-8"?>
<sst xmlns="http://schemas.openxmlformats.org/spreadsheetml/2006/main" count="556" uniqueCount="276">
  <si>
    <t>項目</t>
    <rPh sb="0" eb="2">
      <t>コウモク</t>
    </rPh>
    <phoneticPr fontId="1"/>
  </si>
  <si>
    <t>単位</t>
    <rPh sb="0" eb="2">
      <t>タンイ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</si>
  <si>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</si>
  <si>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</si>
  <si>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建物の階数</t>
    <rPh sb="0" eb="2">
      <t>タテモノ</t>
    </rPh>
    <rPh sb="3" eb="5">
      <t>カイスウ</t>
    </rPh>
    <phoneticPr fontId="1"/>
  </si>
  <si>
    <t>階</t>
    <rPh sb="0" eb="1">
      <t>カイ</t>
    </rPh>
    <phoneticPr fontId="1"/>
  </si>
  <si>
    <t>i階の階高</t>
    <rPh sb="1" eb="2">
      <t>カイ</t>
    </rPh>
    <rPh sb="3" eb="5">
      <t>カイダカ</t>
    </rPh>
    <phoneticPr fontId="1"/>
  </si>
  <si>
    <r>
      <t>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</si>
  <si>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</si>
  <si>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</si>
  <si>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3階</t>
    <rPh sb="1" eb="2">
      <t>カイ</t>
    </rPh>
    <phoneticPr fontId="1"/>
  </si>
  <si>
    <t>RC共同小プラン邸＿省エネ措置届出解説書</t>
    <rPh sb="2" eb="4">
      <t>キョウドウ</t>
    </rPh>
    <rPh sb="4" eb="5">
      <t>ショウ</t>
    </rPh>
    <rPh sb="8" eb="9">
      <t>テイ</t>
    </rPh>
    <rPh sb="10" eb="11">
      <t>ショウ</t>
    </rPh>
    <rPh sb="13" eb="15">
      <t>ソチ</t>
    </rPh>
    <rPh sb="15" eb="17">
      <t>トドケデ</t>
    </rPh>
    <rPh sb="17" eb="20">
      <t>カイセツショ</t>
    </rPh>
    <phoneticPr fontId="1"/>
  </si>
  <si>
    <t>No.</t>
    <phoneticPr fontId="1"/>
  </si>
  <si>
    <t>入力値</t>
    <rPh sb="0" eb="2">
      <t>ニュウリョク</t>
    </rPh>
    <rPh sb="2" eb="3">
      <t>アタイ</t>
    </rPh>
    <phoneticPr fontId="1"/>
  </si>
  <si>
    <t>補足</t>
    <rPh sb="0" eb="2">
      <t>ホソク</t>
    </rPh>
    <phoneticPr fontId="1"/>
  </si>
  <si>
    <t>＜住棟全体に関する項目＞</t>
    <rPh sb="1" eb="3">
      <t>ジュウトウ</t>
    </rPh>
    <rPh sb="3" eb="5">
      <t>ゼンタイ</t>
    </rPh>
    <rPh sb="6" eb="7">
      <t>カン</t>
    </rPh>
    <rPh sb="9" eb="11">
      <t>コウモク</t>
    </rPh>
    <phoneticPr fontId="1"/>
  </si>
  <si>
    <t>地域区分</t>
    <rPh sb="0" eb="2">
      <t>チイキ</t>
    </rPh>
    <rPh sb="2" eb="4">
      <t>クブン</t>
    </rPh>
    <phoneticPr fontId="1"/>
  </si>
  <si>
    <t>-</t>
    <phoneticPr fontId="1"/>
  </si>
  <si>
    <t>建物構造</t>
    <rPh sb="0" eb="2">
      <t>タテモノ</t>
    </rPh>
    <rPh sb="2" eb="4">
      <t>コウゾウ</t>
    </rPh>
    <phoneticPr fontId="1"/>
  </si>
  <si>
    <t>-</t>
    <phoneticPr fontId="1"/>
  </si>
  <si>
    <t>RC造</t>
    <rPh sb="2" eb="3">
      <t>ゾウ</t>
    </rPh>
    <phoneticPr fontId="1"/>
  </si>
  <si>
    <t>建物高さ</t>
    <rPh sb="0" eb="2">
      <t>タテモノ</t>
    </rPh>
    <rPh sb="2" eb="3">
      <t>タカ</t>
    </rPh>
    <phoneticPr fontId="1"/>
  </si>
  <si>
    <t>m</t>
    <phoneticPr fontId="1"/>
  </si>
  <si>
    <t>主開口部の方位</t>
    <rPh sb="0" eb="1">
      <t>シュ</t>
    </rPh>
    <rPh sb="1" eb="3">
      <t>カイコウ</t>
    </rPh>
    <rPh sb="3" eb="4">
      <t>ブ</t>
    </rPh>
    <rPh sb="5" eb="7">
      <t>ホウイ</t>
    </rPh>
    <phoneticPr fontId="1"/>
  </si>
  <si>
    <t>-</t>
    <phoneticPr fontId="1"/>
  </si>
  <si>
    <t>南</t>
    <rPh sb="0" eb="1">
      <t>ミナミ</t>
    </rPh>
    <phoneticPr fontId="1"/>
  </si>
  <si>
    <t>各階の床面積の合計</t>
    <rPh sb="0" eb="2">
      <t>カクカイ</t>
    </rPh>
    <rPh sb="3" eb="6">
      <t>ユカメンセキ</t>
    </rPh>
    <rPh sb="7" eb="9">
      <t>ゴウケイ</t>
    </rPh>
    <phoneticPr fontId="1"/>
  </si>
  <si>
    <t>各階の住戸数</t>
    <rPh sb="0" eb="2">
      <t>カクカイ</t>
    </rPh>
    <rPh sb="3" eb="5">
      <t>ジュウコ</t>
    </rPh>
    <rPh sb="5" eb="6">
      <t>スウ</t>
    </rPh>
    <phoneticPr fontId="1"/>
  </si>
  <si>
    <t>戸</t>
    <rPh sb="0" eb="1">
      <t>コ</t>
    </rPh>
    <phoneticPr fontId="1"/>
  </si>
  <si>
    <r>
      <t>＜</t>
    </r>
    <r>
      <rPr>
        <u/>
        <sz val="10"/>
        <color theme="1"/>
        <rFont val="ＭＳ Ｐゴシック"/>
        <family val="3"/>
        <charset val="128"/>
        <scheme val="minor"/>
      </rPr>
      <t>専有部（住戸部）</t>
    </r>
    <r>
      <rPr>
        <sz val="10"/>
        <color theme="1"/>
        <rFont val="ＭＳ Ｐゴシック"/>
        <family val="3"/>
        <charset val="128"/>
        <scheme val="minor"/>
      </rPr>
      <t>の寸法、外皮性能に関する項目＞</t>
    </r>
    <rPh sb="1" eb="4">
      <t>センユウブ</t>
    </rPh>
    <rPh sb="5" eb="7">
      <t>ジュウコ</t>
    </rPh>
    <rPh sb="7" eb="8">
      <t>ブ</t>
    </rPh>
    <rPh sb="10" eb="12">
      <t>スンポウ</t>
    </rPh>
    <rPh sb="13" eb="15">
      <t>ガイヒ</t>
    </rPh>
    <rPh sb="15" eb="17">
      <t>セイノウ</t>
    </rPh>
    <rPh sb="18" eb="19">
      <t>カン</t>
    </rPh>
    <rPh sb="21" eb="23">
      <t>コウモク</t>
    </rPh>
    <phoneticPr fontId="1"/>
  </si>
  <si>
    <t>各階の外周長</t>
    <rPh sb="0" eb="2">
      <t>カクカイ</t>
    </rPh>
    <rPh sb="3" eb="5">
      <t>ガイシュウ</t>
    </rPh>
    <rPh sb="5" eb="6">
      <t>チョウ</t>
    </rPh>
    <phoneticPr fontId="1"/>
  </si>
  <si>
    <t>外気と接する部分</t>
    <rPh sb="0" eb="2">
      <t>ガイキ</t>
    </rPh>
    <rPh sb="3" eb="4">
      <t>セッ</t>
    </rPh>
    <rPh sb="6" eb="8">
      <t>ブブン</t>
    </rPh>
    <phoneticPr fontId="1"/>
  </si>
  <si>
    <t>m</t>
    <phoneticPr fontId="1"/>
  </si>
  <si>
    <t>空調する共用部、非住宅部と接する部分</t>
    <rPh sb="0" eb="2">
      <t>クウチョウ</t>
    </rPh>
    <rPh sb="4" eb="7">
      <t>キョウヨウブ</t>
    </rPh>
    <rPh sb="8" eb="9">
      <t>ヒ</t>
    </rPh>
    <rPh sb="9" eb="11">
      <t>ジュウタク</t>
    </rPh>
    <rPh sb="11" eb="12">
      <t>ブ</t>
    </rPh>
    <rPh sb="13" eb="14">
      <t>セッ</t>
    </rPh>
    <rPh sb="16" eb="18">
      <t>ブブン</t>
    </rPh>
    <phoneticPr fontId="1"/>
  </si>
  <si>
    <t>m</t>
    <phoneticPr fontId="1"/>
  </si>
  <si>
    <t>住戸と接する部分</t>
    <rPh sb="0" eb="2">
      <t>ジュウコ</t>
    </rPh>
    <rPh sb="3" eb="4">
      <t>セッ</t>
    </rPh>
    <rPh sb="6" eb="8">
      <t>ブブン</t>
    </rPh>
    <phoneticPr fontId="1"/>
  </si>
  <si>
    <t>住棟を複数の方位に分けて計算する場合のみ※。</t>
    <rPh sb="0" eb="2">
      <t>ジュウトウ</t>
    </rPh>
    <rPh sb="3" eb="5">
      <t>フクスウ</t>
    </rPh>
    <rPh sb="6" eb="8">
      <t>ホウイ</t>
    </rPh>
    <rPh sb="9" eb="10">
      <t>ワ</t>
    </rPh>
    <rPh sb="12" eb="14">
      <t>ケイサン</t>
    </rPh>
    <rPh sb="16" eb="18">
      <t>バアイ</t>
    </rPh>
    <phoneticPr fontId="1"/>
  </si>
  <si>
    <t>各階の窓面積の合計</t>
    <rPh sb="0" eb="2">
      <t>カクカイ</t>
    </rPh>
    <rPh sb="3" eb="4">
      <t>マド</t>
    </rPh>
    <rPh sb="4" eb="6">
      <t>メンセキ</t>
    </rPh>
    <rPh sb="7" eb="9">
      <t>ゴウケイ</t>
    </rPh>
    <phoneticPr fontId="1"/>
  </si>
  <si>
    <t>各階（最上階を除く）の屋根面積の合計</t>
    <rPh sb="0" eb="2">
      <t>カクカイ</t>
    </rPh>
    <rPh sb="3" eb="6">
      <t>サイジョウカイ</t>
    </rPh>
    <rPh sb="7" eb="8">
      <t>ノゾ</t>
    </rPh>
    <rPh sb="11" eb="13">
      <t>ヤネ</t>
    </rPh>
    <rPh sb="13" eb="15">
      <t>メンセキ</t>
    </rPh>
    <rPh sb="16" eb="18">
      <t>ゴウケイ</t>
    </rPh>
    <phoneticPr fontId="1"/>
  </si>
  <si>
    <t>各階（最下階を除く）の外気床の面積の合計</t>
    <rPh sb="0" eb="2">
      <t>カクカイ</t>
    </rPh>
    <rPh sb="3" eb="4">
      <t>サイ</t>
    </rPh>
    <rPh sb="4" eb="5">
      <t>カ</t>
    </rPh>
    <rPh sb="5" eb="6">
      <t>カイ</t>
    </rPh>
    <rPh sb="7" eb="8">
      <t>ノゾ</t>
    </rPh>
    <rPh sb="11" eb="13">
      <t>ガイキ</t>
    </rPh>
    <rPh sb="13" eb="14">
      <t>ユカ</t>
    </rPh>
    <rPh sb="15" eb="17">
      <t>メンセキ</t>
    </rPh>
    <rPh sb="18" eb="20">
      <t>ゴウケイ</t>
    </rPh>
    <phoneticPr fontId="1"/>
  </si>
  <si>
    <t>外壁の仕様</t>
    <rPh sb="0" eb="2">
      <t>ガイヘキ</t>
    </rPh>
    <rPh sb="3" eb="5">
      <t>シヨウ</t>
    </rPh>
    <phoneticPr fontId="1"/>
  </si>
  <si>
    <t>熱貫流率（U値）</t>
    <rPh sb="0" eb="1">
      <t>ネツ</t>
    </rPh>
    <rPh sb="1" eb="3">
      <t>カンリュウ</t>
    </rPh>
    <rPh sb="3" eb="4">
      <t>リツ</t>
    </rPh>
    <rPh sb="6" eb="7">
      <t>アタイ</t>
    </rPh>
    <phoneticPr fontId="1"/>
  </si>
  <si>
    <t>断熱位置</t>
    <rPh sb="0" eb="2">
      <t>ダンネツ</t>
    </rPh>
    <rPh sb="2" eb="4">
      <t>イチ</t>
    </rPh>
    <phoneticPr fontId="1"/>
  </si>
  <si>
    <t>内断熱</t>
    <rPh sb="0" eb="1">
      <t>ウチ</t>
    </rPh>
    <rPh sb="1" eb="3">
      <t>ダンネツ</t>
    </rPh>
    <phoneticPr fontId="1"/>
  </si>
  <si>
    <t>「断熱なし、内断熱、外断熱」から該当するものを入力。</t>
    <rPh sb="1" eb="3">
      <t>ダンネツ</t>
    </rPh>
    <rPh sb="6" eb="7">
      <t>ウチ</t>
    </rPh>
    <rPh sb="7" eb="9">
      <t>ダンネツ</t>
    </rPh>
    <rPh sb="10" eb="11">
      <t>ソト</t>
    </rPh>
    <rPh sb="11" eb="13">
      <t>ダンネツ</t>
    </rPh>
    <rPh sb="16" eb="18">
      <t>ガイトウ</t>
    </rPh>
    <rPh sb="23" eb="25">
      <t>ニュウリョク</t>
    </rPh>
    <phoneticPr fontId="1"/>
  </si>
  <si>
    <t>断熱補強の仕様</t>
    <rPh sb="0" eb="2">
      <t>ダンネツ</t>
    </rPh>
    <rPh sb="2" eb="4">
      <t>ホキョウ</t>
    </rPh>
    <rPh sb="5" eb="7">
      <t>シヨウ</t>
    </rPh>
    <phoneticPr fontId="1"/>
  </si>
  <si>
    <t>仕様1</t>
    <rPh sb="0" eb="2">
      <t>シヨウ</t>
    </rPh>
    <phoneticPr fontId="1"/>
  </si>
  <si>
    <t>「補強なし、仕様1、仕様2」から該当するものを入力。</t>
    <rPh sb="1" eb="3">
      <t>ホキョウ</t>
    </rPh>
    <rPh sb="6" eb="8">
      <t>シヨウ</t>
    </rPh>
    <rPh sb="10" eb="12">
      <t>シヨウ</t>
    </rPh>
    <rPh sb="16" eb="18">
      <t>ガイトウ</t>
    </rPh>
    <rPh sb="23" eb="25">
      <t>ニュウリョク</t>
    </rPh>
    <phoneticPr fontId="1"/>
  </si>
  <si>
    <t>屋根の仕様</t>
    <rPh sb="0" eb="2">
      <t>ヤネ</t>
    </rPh>
    <phoneticPr fontId="1"/>
  </si>
  <si>
    <t>外断熱</t>
    <rPh sb="0" eb="1">
      <t>ソト</t>
    </rPh>
    <rPh sb="1" eb="3">
      <t>ダンネツ</t>
    </rPh>
    <phoneticPr fontId="1"/>
  </si>
  <si>
    <t>最下階床の仕様</t>
    <rPh sb="0" eb="1">
      <t>サイ</t>
    </rPh>
    <rPh sb="1" eb="2">
      <t>カ</t>
    </rPh>
    <rPh sb="2" eb="3">
      <t>カイ</t>
    </rPh>
    <rPh sb="3" eb="4">
      <t>ユカ</t>
    </rPh>
    <phoneticPr fontId="1"/>
  </si>
  <si>
    <t>-</t>
    <phoneticPr fontId="1"/>
  </si>
  <si>
    <t>-</t>
    <phoneticPr fontId="1"/>
  </si>
  <si>
    <t>該当箇所なし</t>
    <rPh sb="0" eb="2">
      <t>ガイトウ</t>
    </rPh>
    <rPh sb="2" eb="4">
      <t>カショ</t>
    </rPh>
    <phoneticPr fontId="1"/>
  </si>
  <si>
    <t>界壁の熱貫流率（U値）</t>
    <rPh sb="0" eb="2">
      <t>カイヘキ</t>
    </rPh>
    <rPh sb="3" eb="4">
      <t>ネツ</t>
    </rPh>
    <rPh sb="4" eb="6">
      <t>カンリュウ</t>
    </rPh>
    <rPh sb="6" eb="7">
      <t>リツ</t>
    </rPh>
    <rPh sb="9" eb="10">
      <t>アタイ</t>
    </rPh>
    <phoneticPr fontId="1"/>
  </si>
  <si>
    <t>複数の仕様がある場合は、最も性能の劣る値を入力。</t>
    <rPh sb="0" eb="2">
      <t>フクスウ</t>
    </rPh>
    <rPh sb="3" eb="5">
      <t>シヨウ</t>
    </rPh>
    <rPh sb="8" eb="10">
      <t>バアイ</t>
    </rPh>
    <rPh sb="12" eb="13">
      <t>モット</t>
    </rPh>
    <rPh sb="14" eb="16">
      <t>セイノウ</t>
    </rPh>
    <rPh sb="17" eb="18">
      <t>オト</t>
    </rPh>
    <rPh sb="19" eb="20">
      <t>アタイ</t>
    </rPh>
    <rPh sb="21" eb="23">
      <t>ニュウリョク</t>
    </rPh>
    <phoneticPr fontId="1"/>
  </si>
  <si>
    <t>階床の熱貫流率（U値）</t>
    <rPh sb="0" eb="1">
      <t>カイ</t>
    </rPh>
    <rPh sb="1" eb="2">
      <t>ユカ</t>
    </rPh>
    <rPh sb="3" eb="4">
      <t>ネツ</t>
    </rPh>
    <rPh sb="4" eb="6">
      <t>カンリュウ</t>
    </rPh>
    <rPh sb="6" eb="7">
      <t>リツ</t>
    </rPh>
    <rPh sb="9" eb="10">
      <t>アタイ</t>
    </rPh>
    <phoneticPr fontId="1"/>
  </si>
  <si>
    <t>窓の熱貫流率（U値）</t>
    <rPh sb="0" eb="1">
      <t>マド</t>
    </rPh>
    <phoneticPr fontId="1"/>
  </si>
  <si>
    <t>複数の仕様がある場合は、最も性能の劣る値を入力。ただし、住戸ごとに床面積の2%未満の面積の窓は除く。</t>
    <rPh sb="28" eb="30">
      <t>ジュウコ</t>
    </rPh>
    <rPh sb="33" eb="36">
      <t>ユカメンセキ</t>
    </rPh>
    <rPh sb="39" eb="41">
      <t>ミマン</t>
    </rPh>
    <rPh sb="42" eb="44">
      <t>メンセキ</t>
    </rPh>
    <rPh sb="45" eb="46">
      <t>マド</t>
    </rPh>
    <rPh sb="47" eb="48">
      <t>ノゾ</t>
    </rPh>
    <phoneticPr fontId="1"/>
  </si>
  <si>
    <t>窓の日射熱取得率（η値）</t>
    <rPh sb="0" eb="1">
      <t>マド</t>
    </rPh>
    <rPh sb="2" eb="4">
      <t>ニッシャ</t>
    </rPh>
    <rPh sb="4" eb="5">
      <t>ネツ</t>
    </rPh>
    <rPh sb="5" eb="8">
      <t>シュトクリツ</t>
    </rPh>
    <rPh sb="10" eb="11">
      <t>アタイ</t>
    </rPh>
    <phoneticPr fontId="1"/>
  </si>
  <si>
    <t>各階の共用部、非住宅部の床面積の合計</t>
    <rPh sb="0" eb="2">
      <t>カクカイ</t>
    </rPh>
    <rPh sb="3" eb="6">
      <t>キョウヨウブ</t>
    </rPh>
    <rPh sb="7" eb="8">
      <t>ヒ</t>
    </rPh>
    <rPh sb="8" eb="10">
      <t>ジュウタク</t>
    </rPh>
    <rPh sb="10" eb="11">
      <t>ブ</t>
    </rPh>
    <rPh sb="12" eb="15">
      <t>ユカメンセキ</t>
    </rPh>
    <rPh sb="16" eb="18">
      <t>ゴウケイ</t>
    </rPh>
    <phoneticPr fontId="1"/>
  </si>
  <si>
    <r>
      <t>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phoneticPr fontId="1"/>
  </si>
  <si>
    <t>外壁の熱貫流率（U値）</t>
    <rPh sb="0" eb="2">
      <t>ガイヘキ</t>
    </rPh>
    <rPh sb="3" eb="4">
      <t>ネツ</t>
    </rPh>
    <rPh sb="4" eb="6">
      <t>カンリュウ</t>
    </rPh>
    <rPh sb="6" eb="7">
      <t>リツ</t>
    </rPh>
    <rPh sb="9" eb="10">
      <t>アタイ</t>
    </rPh>
    <phoneticPr fontId="1"/>
  </si>
  <si>
    <t>空調する室が存在する場合のみ
複数の仕様がある場合は、最も性能の劣る値を入力。</t>
    <rPh sb="0" eb="2">
      <t>クウチョウ</t>
    </rPh>
    <rPh sb="4" eb="5">
      <t>シツ</t>
    </rPh>
    <rPh sb="6" eb="8">
      <t>ソンザイ</t>
    </rPh>
    <rPh sb="10" eb="12">
      <t>バアイ</t>
    </rPh>
    <rPh sb="15" eb="17">
      <t>フクスウ</t>
    </rPh>
    <rPh sb="18" eb="20">
      <t>シヨウ</t>
    </rPh>
    <rPh sb="23" eb="25">
      <t>バアイ</t>
    </rPh>
    <rPh sb="27" eb="28">
      <t>モット</t>
    </rPh>
    <rPh sb="29" eb="31">
      <t>セイノウ</t>
    </rPh>
    <rPh sb="32" eb="33">
      <t>オト</t>
    </rPh>
    <rPh sb="34" eb="35">
      <t>アタイ</t>
    </rPh>
    <rPh sb="36" eb="38">
      <t>ニュウリョク</t>
    </rPh>
    <phoneticPr fontId="1"/>
  </si>
  <si>
    <t>外気床の熱貫流率（U値）</t>
    <rPh sb="0" eb="2">
      <t>ガイキ</t>
    </rPh>
    <rPh sb="2" eb="3">
      <t>ユカ</t>
    </rPh>
    <rPh sb="4" eb="8">
      <t>ネツカンリュウリツ</t>
    </rPh>
    <rPh sb="10" eb="11">
      <t>アタイ</t>
    </rPh>
    <phoneticPr fontId="1"/>
  </si>
  <si>
    <t>窓の熱貫流率（U値）</t>
    <rPh sb="0" eb="1">
      <t>マド</t>
    </rPh>
    <rPh sb="2" eb="3">
      <t>ネツ</t>
    </rPh>
    <rPh sb="3" eb="5">
      <t>カンリュウ</t>
    </rPh>
    <rPh sb="5" eb="6">
      <t>リツ</t>
    </rPh>
    <rPh sb="8" eb="9">
      <t>アタイ</t>
    </rPh>
    <phoneticPr fontId="1"/>
  </si>
  <si>
    <t>建物名称</t>
    <rPh sb="0" eb="2">
      <t>タテモノ</t>
    </rPh>
    <rPh sb="2" eb="4">
      <t>メイショウ</t>
    </rPh>
    <phoneticPr fontId="1"/>
  </si>
  <si>
    <r>
      <t>木造、S造、RC造等を入力。</t>
    </r>
    <r>
      <rPr>
        <sz val="10"/>
        <color rgb="FFFF0000"/>
        <rFont val="ＭＳ Ｐゴシック"/>
        <family val="3"/>
        <charset val="128"/>
        <scheme val="minor"/>
      </rPr>
      <t>混構造の場合は、過半の床面積を占める構造を入力。</t>
    </r>
    <rPh sb="0" eb="2">
      <t>モクゾウ</t>
    </rPh>
    <rPh sb="4" eb="5">
      <t>ゾウ</t>
    </rPh>
    <rPh sb="8" eb="9">
      <t>ゾウ</t>
    </rPh>
    <rPh sb="9" eb="10">
      <t>トウ</t>
    </rPh>
    <rPh sb="11" eb="13">
      <t>ニュウリョク</t>
    </rPh>
    <rPh sb="14" eb="15">
      <t>マ</t>
    </rPh>
    <rPh sb="15" eb="17">
      <t>コウゾウ</t>
    </rPh>
    <rPh sb="18" eb="20">
      <t>バアイ</t>
    </rPh>
    <rPh sb="22" eb="24">
      <t>カハン</t>
    </rPh>
    <rPh sb="25" eb="28">
      <t>ユカメンセキ</t>
    </rPh>
    <rPh sb="29" eb="30">
      <t>シ</t>
    </rPh>
    <rPh sb="32" eb="34">
      <t>コウゾウ</t>
    </rPh>
    <rPh sb="35" eb="37">
      <t>ニュウリョク</t>
    </rPh>
    <phoneticPr fontId="1"/>
  </si>
  <si>
    <r>
      <t>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phoneticPr fontId="1"/>
  </si>
  <si>
    <t>専有部と共用部、非住宅部の床面積の合計を階ごとに入力。</t>
    <rPh sb="0" eb="3">
      <t>センユウブ</t>
    </rPh>
    <rPh sb="4" eb="7">
      <t>キョウヨウブ</t>
    </rPh>
    <rPh sb="8" eb="9">
      <t>ヒ</t>
    </rPh>
    <rPh sb="9" eb="11">
      <t>ジュウタク</t>
    </rPh>
    <rPh sb="11" eb="12">
      <t>ブ</t>
    </rPh>
    <rPh sb="13" eb="16">
      <t>ユカメンセキ</t>
    </rPh>
    <rPh sb="17" eb="19">
      <t>ゴウケイ</t>
    </rPh>
    <rPh sb="20" eb="21">
      <t>カイ</t>
    </rPh>
    <rPh sb="24" eb="26">
      <t>ニュウリョク</t>
    </rPh>
    <phoneticPr fontId="1"/>
  </si>
  <si>
    <r>
      <t>m</t>
    </r>
    <r>
      <rPr>
        <vertAlign val="superscript"/>
        <sz val="10"/>
        <rFont val="ＭＳ Ｐゴシック"/>
        <family val="3"/>
        <charset val="128"/>
        <scheme val="minor"/>
      </rPr>
      <t>2</t>
    </r>
    <phoneticPr fontId="1"/>
  </si>
  <si>
    <r>
      <t>階ごとに、全住戸合計の窓面積を入力。
例：1階に101、102号室の2住戸があり、それぞれ窓面積が10m</t>
    </r>
    <r>
      <rPr>
        <vertAlign val="super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>、12m</t>
    </r>
    <r>
      <rPr>
        <vertAlign val="super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>の場合、1階に22m</t>
    </r>
    <r>
      <rPr>
        <vertAlign val="super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>（＝10+12）を入力。</t>
    </r>
    <rPh sb="0" eb="1">
      <t>カイ</t>
    </rPh>
    <rPh sb="5" eb="6">
      <t>ゼン</t>
    </rPh>
    <rPh sb="6" eb="8">
      <t>ジュウコ</t>
    </rPh>
    <rPh sb="8" eb="10">
      <t>ゴウケイ</t>
    </rPh>
    <rPh sb="11" eb="12">
      <t>マド</t>
    </rPh>
    <rPh sb="12" eb="14">
      <t>メンセキ</t>
    </rPh>
    <rPh sb="15" eb="17">
      <t>ニュウリョク</t>
    </rPh>
    <rPh sb="19" eb="20">
      <t>レイ</t>
    </rPh>
    <rPh sb="22" eb="23">
      <t>カイ</t>
    </rPh>
    <rPh sb="31" eb="33">
      <t>ゴウシツ</t>
    </rPh>
    <rPh sb="35" eb="37">
      <t>ジュウコ</t>
    </rPh>
    <rPh sb="45" eb="46">
      <t>マド</t>
    </rPh>
    <rPh sb="46" eb="48">
      <t>メンセキ</t>
    </rPh>
    <rPh sb="59" eb="61">
      <t>バアイ</t>
    </rPh>
    <rPh sb="63" eb="64">
      <t>カイ</t>
    </rPh>
    <rPh sb="78" eb="80">
      <t>ニュウリョク</t>
    </rPh>
    <phoneticPr fontId="1"/>
  </si>
  <si>
    <r>
      <t>W/(m</t>
    </r>
    <r>
      <rPr>
        <vertAlign val="super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>K)</t>
    </r>
    <phoneticPr fontId="1"/>
  </si>
  <si>
    <t>複数の仕様がある場合は、最も性能の劣る値を入力（以下同じ）。</t>
    <rPh sb="0" eb="2">
      <t>フクスウ</t>
    </rPh>
    <rPh sb="3" eb="5">
      <t>シヨウ</t>
    </rPh>
    <rPh sb="8" eb="10">
      <t>バアイ</t>
    </rPh>
    <rPh sb="12" eb="13">
      <t>モット</t>
    </rPh>
    <rPh sb="14" eb="16">
      <t>セイノウ</t>
    </rPh>
    <rPh sb="17" eb="18">
      <t>オト</t>
    </rPh>
    <rPh sb="19" eb="20">
      <t>アタイ</t>
    </rPh>
    <rPh sb="21" eb="23">
      <t>ニュウリョク</t>
    </rPh>
    <rPh sb="24" eb="26">
      <t>イカ</t>
    </rPh>
    <rPh sb="26" eb="27">
      <t>オナ</t>
    </rPh>
    <phoneticPr fontId="1"/>
  </si>
  <si>
    <t>↑同上</t>
    <rPh sb="1" eb="3">
      <t>ドウジョウ</t>
    </rPh>
    <phoneticPr fontId="1"/>
  </si>
  <si>
    <r>
      <t>W/(m</t>
    </r>
    <r>
      <rPr>
        <vertAlign val="super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>K)</t>
    </r>
    <phoneticPr fontId="1"/>
  </si>
  <si>
    <t>↑同上</t>
    <phoneticPr fontId="1"/>
  </si>
  <si>
    <r>
      <t>＜</t>
    </r>
    <r>
      <rPr>
        <u/>
        <sz val="10"/>
        <rFont val="ＭＳ Ｐゴシック"/>
        <family val="3"/>
        <charset val="128"/>
        <scheme val="minor"/>
      </rPr>
      <t>共用部、非住宅部の寸法</t>
    </r>
    <r>
      <rPr>
        <sz val="10"/>
        <rFont val="ＭＳ Ｐゴシック"/>
        <family val="3"/>
        <charset val="128"/>
        <scheme val="minor"/>
      </rPr>
      <t>、外皮性能に関する項目＞</t>
    </r>
    <rPh sb="1" eb="4">
      <t>キョウヨウブ</t>
    </rPh>
    <rPh sb="5" eb="6">
      <t>ヒ</t>
    </rPh>
    <rPh sb="6" eb="8">
      <t>ジュウタク</t>
    </rPh>
    <rPh sb="8" eb="9">
      <t>ブ</t>
    </rPh>
    <rPh sb="10" eb="12">
      <t>スンポウ</t>
    </rPh>
    <rPh sb="13" eb="15">
      <t>ガイヒ</t>
    </rPh>
    <rPh sb="15" eb="17">
      <t>セイノウ</t>
    </rPh>
    <rPh sb="18" eb="19">
      <t>カン</t>
    </rPh>
    <rPh sb="21" eb="23">
      <t>コウモク</t>
    </rPh>
    <phoneticPr fontId="1"/>
  </si>
  <si>
    <r>
      <t>m</t>
    </r>
    <r>
      <rPr>
        <vertAlign val="superscript"/>
        <sz val="10"/>
        <rFont val="ＭＳ Ｐゴシック"/>
        <family val="3"/>
        <charset val="128"/>
        <scheme val="minor"/>
      </rPr>
      <t>2</t>
    </r>
    <phoneticPr fontId="1"/>
  </si>
  <si>
    <t>H,i</t>
    <phoneticPr fontId="1"/>
  </si>
  <si>
    <t>(1)</t>
    <phoneticPr fontId="1"/>
  </si>
  <si>
    <t>(2)</t>
    <phoneticPr fontId="1"/>
  </si>
  <si>
    <t>A_(f,h,total,i)</t>
    <phoneticPr fontId="1"/>
  </si>
  <si>
    <t>(3)</t>
    <phoneticPr fontId="1"/>
  </si>
  <si>
    <t>l_(1,total,i)</t>
    <phoneticPr fontId="1"/>
  </si>
  <si>
    <t>l_(2,total,i)</t>
    <phoneticPr fontId="1"/>
  </si>
  <si>
    <t>m</t>
    <phoneticPr fontId="1"/>
  </si>
  <si>
    <t>A_(r,h,total,i)</t>
    <phoneticPr fontId="1"/>
  </si>
  <si>
    <t>(4)</t>
    <phoneticPr fontId="1"/>
  </si>
  <si>
    <t>(5)</t>
    <phoneticPr fontId="1"/>
  </si>
  <si>
    <t>A_(of,h,total,i)</t>
    <phoneticPr fontId="1"/>
  </si>
  <si>
    <t>j=0</t>
  </si>
  <si>
    <t>j=0</t>
    <phoneticPr fontId="1"/>
  </si>
  <si>
    <t>j=90</t>
  </si>
  <si>
    <t>j=90</t>
    <phoneticPr fontId="1"/>
  </si>
  <si>
    <t>j=180</t>
  </si>
  <si>
    <t>j=180</t>
    <phoneticPr fontId="1"/>
  </si>
  <si>
    <t>j=270</t>
  </si>
  <si>
    <t>j=270</t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</si>
  <si>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</si>
  <si>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</si>
  <si>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東</t>
    <rPh sb="0" eb="1">
      <t>ヒガシ</t>
    </rPh>
    <phoneticPr fontId="1"/>
  </si>
  <si>
    <t>方位の定義</t>
    <rPh sb="0" eb="2">
      <t>ホウイ</t>
    </rPh>
    <rPh sb="3" eb="5">
      <t>テイギ</t>
    </rPh>
    <phoneticPr fontId="1"/>
  </si>
  <si>
    <t>A_(win,h,total,i,j=0)</t>
    <phoneticPr fontId="1"/>
  </si>
  <si>
    <t>A_(win,h,total,i,j=90)</t>
    <phoneticPr fontId="1"/>
  </si>
  <si>
    <t>A_(win,h,total,i,j=180)</t>
    <phoneticPr fontId="1"/>
  </si>
  <si>
    <t>A_(win,h,total,i,j=270)</t>
    <phoneticPr fontId="1"/>
  </si>
  <si>
    <t>専有部（住戸部）の床面積の合計</t>
  </si>
  <si>
    <t>専有部（住戸部）全体の長辺の長さ</t>
  </si>
  <si>
    <t>専有部（住戸部）全体の短辺の長さ</t>
    <rPh sb="11" eb="13">
      <t>タンペン</t>
    </rPh>
    <phoneticPr fontId="1"/>
  </si>
  <si>
    <t>専有部（住戸部）の屋根面積の合計</t>
    <rPh sb="9" eb="11">
      <t>ヤネ</t>
    </rPh>
    <phoneticPr fontId="1"/>
  </si>
  <si>
    <t>専有部（住戸部）の外気床面積の合計</t>
    <rPh sb="9" eb="11">
      <t>ガイキ</t>
    </rPh>
    <rPh sb="11" eb="12">
      <t>ユカ</t>
    </rPh>
    <rPh sb="12" eb="14">
      <t>メンセキ</t>
    </rPh>
    <phoneticPr fontId="1"/>
  </si>
  <si>
    <t>(6a)</t>
    <phoneticPr fontId="1"/>
  </si>
  <si>
    <t>(6b)</t>
    <phoneticPr fontId="1"/>
  </si>
  <si>
    <t>(6c)</t>
    <phoneticPr fontId="1"/>
  </si>
  <si>
    <t>(6d)</t>
    <phoneticPr fontId="1"/>
  </si>
  <si>
    <t>(7)</t>
    <phoneticPr fontId="1"/>
  </si>
  <si>
    <t>各住戸の屋根面積</t>
    <rPh sb="0" eb="1">
      <t>カク</t>
    </rPh>
    <rPh sb="1" eb="3">
      <t>ジュウコ</t>
    </rPh>
    <rPh sb="4" eb="6">
      <t>ヤネ</t>
    </rPh>
    <rPh sb="6" eb="8">
      <t>メンセキ</t>
    </rPh>
    <phoneticPr fontId="1"/>
  </si>
  <si>
    <t>A_(r,h,i)</t>
    <phoneticPr fontId="1"/>
  </si>
  <si>
    <t>各住戸の窓面積</t>
    <rPh sb="0" eb="1">
      <t>カク</t>
    </rPh>
    <rPh sb="1" eb="3">
      <t>ジュウコ</t>
    </rPh>
    <rPh sb="4" eb="5">
      <t>マド</t>
    </rPh>
    <rPh sb="5" eb="7">
      <t>メンセキ</t>
    </rPh>
    <phoneticPr fontId="1"/>
  </si>
  <si>
    <t>窓面積の合計</t>
    <rPh sb="0" eb="1">
      <t>マド</t>
    </rPh>
    <rPh sb="1" eb="3">
      <t>メンセキ</t>
    </rPh>
    <rPh sb="4" eb="6">
      <t>ゴウケイ</t>
    </rPh>
    <phoneticPr fontId="1"/>
  </si>
  <si>
    <t>A_(win,h,i,j=0)</t>
    <phoneticPr fontId="1"/>
  </si>
  <si>
    <t>A_(win,h,i,j=90)</t>
    <phoneticPr fontId="1"/>
  </si>
  <si>
    <t>A_(win,h,i,j=180)</t>
    <phoneticPr fontId="1"/>
  </si>
  <si>
    <t>A_(win,h,i,j=270)</t>
    <phoneticPr fontId="1"/>
  </si>
  <si>
    <t>中住戸</t>
    <rPh sb="0" eb="1">
      <t>ナカ</t>
    </rPh>
    <rPh sb="1" eb="3">
      <t>ジュウコ</t>
    </rPh>
    <phoneticPr fontId="1"/>
  </si>
  <si>
    <t>(8-1)</t>
    <phoneticPr fontId="1"/>
  </si>
  <si>
    <t>(8-2)</t>
    <phoneticPr fontId="1"/>
  </si>
  <si>
    <t>(8-3)</t>
    <phoneticPr fontId="1"/>
  </si>
  <si>
    <t>(9-1)</t>
    <phoneticPr fontId="1"/>
  </si>
  <si>
    <t>各住戸の外壁面積</t>
    <rPh sb="0" eb="1">
      <t>カク</t>
    </rPh>
    <rPh sb="1" eb="3">
      <t>ジュウコ</t>
    </rPh>
    <rPh sb="4" eb="6">
      <t>ガイヘキ</t>
    </rPh>
    <rPh sb="6" eb="8">
      <t>メンセキ</t>
    </rPh>
    <phoneticPr fontId="1"/>
  </si>
  <si>
    <t>A_(ow,h,i,j=0)</t>
    <phoneticPr fontId="1"/>
  </si>
  <si>
    <t>A_(ow,h,i,j=90)</t>
    <phoneticPr fontId="1"/>
  </si>
  <si>
    <t>A_(ow,h,i,j=180)</t>
    <phoneticPr fontId="1"/>
  </si>
  <si>
    <t>A_(ow,h,i,j=270)</t>
    <phoneticPr fontId="1"/>
  </si>
  <si>
    <t>(9-2)</t>
    <phoneticPr fontId="1"/>
  </si>
  <si>
    <t>(9-3)</t>
    <phoneticPr fontId="1"/>
  </si>
  <si>
    <t>方位</t>
    <rPh sb="0" eb="2">
      <t>ホウイ</t>
    </rPh>
    <phoneticPr fontId="1"/>
  </si>
  <si>
    <t>北東</t>
    <rPh sb="0" eb="2">
      <t>ホクトウ</t>
    </rPh>
    <phoneticPr fontId="1"/>
  </si>
  <si>
    <t>南東</t>
    <rPh sb="0" eb="2">
      <t>ナントウ</t>
    </rPh>
    <phoneticPr fontId="1"/>
  </si>
  <si>
    <t>南西</t>
    <rPh sb="0" eb="2">
      <t>ナンセイ</t>
    </rPh>
    <phoneticPr fontId="1"/>
  </si>
  <si>
    <t>北西</t>
    <rPh sb="0" eb="2">
      <t>ホクセイ</t>
    </rPh>
    <phoneticPr fontId="1"/>
  </si>
  <si>
    <t>(10)</t>
    <phoneticPr fontId="1"/>
  </si>
  <si>
    <t>各住戸の外気床面積</t>
    <rPh sb="6" eb="9">
      <t>ユカメンセキ</t>
    </rPh>
    <phoneticPr fontId="1"/>
  </si>
  <si>
    <t>A_(of,h,i)</t>
    <phoneticPr fontId="1"/>
  </si>
  <si>
    <t>各住戸の界壁面積</t>
    <rPh sb="0" eb="1">
      <t>カク</t>
    </rPh>
    <rPh sb="1" eb="3">
      <t>ジュウコ</t>
    </rPh>
    <rPh sb="4" eb="6">
      <t>カイヘキ</t>
    </rPh>
    <rPh sb="6" eb="8">
      <t>メンセキ</t>
    </rPh>
    <phoneticPr fontId="1"/>
  </si>
  <si>
    <t>A_(iw,h,i)</t>
    <phoneticPr fontId="1"/>
  </si>
  <si>
    <t>(11-1)</t>
    <phoneticPr fontId="1"/>
  </si>
  <si>
    <t>(11-2)</t>
  </si>
  <si>
    <t>(11-3)</t>
  </si>
  <si>
    <t>(12)</t>
    <phoneticPr fontId="1"/>
  </si>
  <si>
    <t>各住戸の界床面積</t>
    <rPh sb="4" eb="5">
      <t>カイ</t>
    </rPh>
    <rPh sb="5" eb="6">
      <t>ユカ</t>
    </rPh>
    <rPh sb="6" eb="8">
      <t>メンセキ</t>
    </rPh>
    <phoneticPr fontId="1"/>
  </si>
  <si>
    <t>A_(if,h,i)</t>
    <phoneticPr fontId="1"/>
  </si>
  <si>
    <t>(13)</t>
    <phoneticPr fontId="1"/>
  </si>
  <si>
    <t>各住戸の界天井面積</t>
    <rPh sb="0" eb="1">
      <t>カク</t>
    </rPh>
    <rPh sb="1" eb="3">
      <t>ジュウコ</t>
    </rPh>
    <rPh sb="4" eb="5">
      <t>カイ</t>
    </rPh>
    <rPh sb="5" eb="7">
      <t>テンジョウ</t>
    </rPh>
    <rPh sb="7" eb="9">
      <t>メンセキ</t>
    </rPh>
    <phoneticPr fontId="1"/>
  </si>
  <si>
    <t>A_(ic,h,i)</t>
    <phoneticPr fontId="1"/>
  </si>
  <si>
    <t>１．各階全体の面積等</t>
    <rPh sb="2" eb="4">
      <t>カクカイ</t>
    </rPh>
    <rPh sb="4" eb="6">
      <t>ゼンタイ</t>
    </rPh>
    <rPh sb="7" eb="9">
      <t>メンセキ</t>
    </rPh>
    <rPh sb="9" eb="10">
      <t>トウ</t>
    </rPh>
    <phoneticPr fontId="1"/>
  </si>
  <si>
    <t>２．各住戸の面積等</t>
    <rPh sb="2" eb="3">
      <t>カク</t>
    </rPh>
    <rPh sb="3" eb="5">
      <t>ジュウコ</t>
    </rPh>
    <rPh sb="6" eb="8">
      <t>メンセキ</t>
    </rPh>
    <rPh sb="8" eb="9">
      <t>トウ</t>
    </rPh>
    <phoneticPr fontId="1"/>
  </si>
  <si>
    <t>３．各住戸の熱橋長さ</t>
    <rPh sb="2" eb="3">
      <t>カク</t>
    </rPh>
    <rPh sb="3" eb="5">
      <t>ジュウコ</t>
    </rPh>
    <rPh sb="6" eb="8">
      <t>ネッキョウ</t>
    </rPh>
    <rPh sb="8" eb="9">
      <t>ナガ</t>
    </rPh>
    <phoneticPr fontId="1"/>
  </si>
  <si>
    <t>(14-1)</t>
    <phoneticPr fontId="1"/>
  </si>
  <si>
    <t>(14-2)</t>
    <phoneticPr fontId="1"/>
  </si>
  <si>
    <t>(14-3)</t>
    <phoneticPr fontId="1"/>
  </si>
  <si>
    <t>(15-1)</t>
  </si>
  <si>
    <t>(15-2)</t>
  </si>
  <si>
    <t>(15-3)</t>
  </si>
  <si>
    <t>(水平)</t>
    <rPh sb="1" eb="3">
      <t>スイヘイ</t>
    </rPh>
    <phoneticPr fontId="1"/>
  </si>
  <si>
    <t>(16-1)</t>
    <phoneticPr fontId="1"/>
  </si>
  <si>
    <t>(16-2)</t>
  </si>
  <si>
    <t>(16-3)</t>
  </si>
  <si>
    <t>(17-1)</t>
    <phoneticPr fontId="1"/>
  </si>
  <si>
    <t>(17-2)</t>
    <phoneticPr fontId="1"/>
  </si>
  <si>
    <t>(17-3)</t>
    <phoneticPr fontId="1"/>
  </si>
  <si>
    <t>(18-1)</t>
  </si>
  <si>
    <t>(18-2)</t>
  </si>
  <si>
    <t>(18-3)</t>
  </si>
  <si>
    <t>(19-1)</t>
    <phoneticPr fontId="1"/>
  </si>
  <si>
    <t>(19-2)</t>
    <phoneticPr fontId="1"/>
  </si>
  <si>
    <t>(19-3)</t>
    <phoneticPr fontId="1"/>
  </si>
  <si>
    <t>(20-1)</t>
    <phoneticPr fontId="1"/>
  </si>
  <si>
    <t>(20-2)</t>
  </si>
  <si>
    <t>(20-3)</t>
  </si>
  <si>
    <t>(21-1)</t>
    <phoneticPr fontId="1"/>
  </si>
  <si>
    <t>φ_1v</t>
  </si>
  <si>
    <t>W/mK</t>
    <phoneticPr fontId="1"/>
  </si>
  <si>
    <t>φ_(1h,r)</t>
  </si>
  <si>
    <t>φ_(1h,f)</t>
  </si>
  <si>
    <t>φ_2v</t>
    <phoneticPr fontId="1"/>
  </si>
  <si>
    <t>φ_(2h,r)</t>
    <phoneticPr fontId="1"/>
  </si>
  <si>
    <t>φ_(3h,r)</t>
  </si>
  <si>
    <t>φ_(3h,f)</t>
  </si>
  <si>
    <t>φ_(4h,uf)</t>
  </si>
  <si>
    <t>φ_(5h,uf)</t>
  </si>
  <si>
    <t>W/K</t>
    <phoneticPr fontId="1"/>
  </si>
  <si>
    <t>熱損失</t>
    <rPh sb="0" eb="1">
      <t>ネツ</t>
    </rPh>
    <rPh sb="1" eb="3">
      <t>ソンシツ</t>
    </rPh>
    <phoneticPr fontId="1"/>
  </si>
  <si>
    <t>温度差係数</t>
    <rPh sb="0" eb="3">
      <t>オンドサ</t>
    </rPh>
    <rPh sb="3" eb="5">
      <t>ケイスウ</t>
    </rPh>
    <phoneticPr fontId="1"/>
  </si>
  <si>
    <t>UA計算用</t>
    <rPh sb="2" eb="5">
      <t>ケイサンヨウ</t>
    </rPh>
    <phoneticPr fontId="1"/>
  </si>
  <si>
    <t>q計算用</t>
    <rPh sb="1" eb="4">
      <t>ケイサンヨウ</t>
    </rPh>
    <phoneticPr fontId="1"/>
  </si>
  <si>
    <t>外気</t>
    <rPh sb="0" eb="2">
      <t>ガイキ</t>
    </rPh>
    <phoneticPr fontId="1"/>
  </si>
  <si>
    <t>外気に通じていない空間又は外気に通じる床裏</t>
    <rPh sb="0" eb="2">
      <t>ガイキ</t>
    </rPh>
    <rPh sb="3" eb="4">
      <t>ツウ</t>
    </rPh>
    <rPh sb="9" eb="11">
      <t>クウカン</t>
    </rPh>
    <rPh sb="11" eb="12">
      <t>マタ</t>
    </rPh>
    <rPh sb="13" eb="15">
      <t>ガイキ</t>
    </rPh>
    <rPh sb="16" eb="17">
      <t>ツウ</t>
    </rPh>
    <rPh sb="19" eb="20">
      <t>ユカ</t>
    </rPh>
    <rPh sb="20" eb="21">
      <t>ウラ</t>
    </rPh>
    <phoneticPr fontId="1"/>
  </si>
  <si>
    <t>1-3地域</t>
    <rPh sb="3" eb="5">
      <t>チイキ</t>
    </rPh>
    <phoneticPr fontId="1"/>
  </si>
  <si>
    <t>4-8地域</t>
    <rPh sb="3" eb="5">
      <t>チイキ</t>
    </rPh>
    <phoneticPr fontId="1"/>
  </si>
  <si>
    <t>界床の熱貫流率（U値）</t>
    <rPh sb="0" eb="1">
      <t>カイ</t>
    </rPh>
    <rPh sb="1" eb="2">
      <t>ユカ</t>
    </rPh>
    <rPh sb="3" eb="4">
      <t>ネツ</t>
    </rPh>
    <rPh sb="4" eb="6">
      <t>カンリュウ</t>
    </rPh>
    <rPh sb="6" eb="7">
      <t>リツ</t>
    </rPh>
    <rPh sb="9" eb="10">
      <t>アタイ</t>
    </rPh>
    <phoneticPr fontId="1"/>
  </si>
  <si>
    <t>外皮面積の合計</t>
    <rPh sb="0" eb="2">
      <t>ガイヒ</t>
    </rPh>
    <rPh sb="2" eb="4">
      <t>メンセキ</t>
    </rPh>
    <rPh sb="5" eb="7">
      <t>ゴウケイ</t>
    </rPh>
    <phoneticPr fontId="1"/>
  </si>
  <si>
    <t>各住戸の床下に面する床面積</t>
    <rPh sb="0" eb="1">
      <t>カク</t>
    </rPh>
    <rPh sb="1" eb="3">
      <t>ジュウコ</t>
    </rPh>
    <rPh sb="4" eb="6">
      <t>ユカシタ</t>
    </rPh>
    <rPh sb="7" eb="8">
      <t>メン</t>
    </rPh>
    <rPh sb="10" eb="13">
      <t>ユカメンセキ</t>
    </rPh>
    <phoneticPr fontId="1"/>
  </si>
  <si>
    <r>
      <t>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phoneticPr fontId="1"/>
  </si>
  <si>
    <t>熱損失の合計</t>
    <rPh sb="0" eb="1">
      <t>ネツ</t>
    </rPh>
    <rPh sb="1" eb="3">
      <t>ソンシツ</t>
    </rPh>
    <rPh sb="4" eb="6">
      <t>ゴウケイ</t>
    </rPh>
    <phoneticPr fontId="1"/>
  </si>
  <si>
    <t>UA値</t>
    <rPh sb="2" eb="3">
      <t>アタイ</t>
    </rPh>
    <phoneticPr fontId="1"/>
  </si>
  <si>
    <r>
      <t>W/m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r>
      <rPr>
        <sz val="10"/>
        <color theme="1"/>
        <rFont val="ＭＳ Ｐゴシック"/>
        <family val="3"/>
        <charset val="128"/>
        <scheme val="minor"/>
      </rPr>
      <t>K</t>
    </r>
    <phoneticPr fontId="1"/>
  </si>
  <si>
    <t>デフォルト</t>
    <phoneticPr fontId="1"/>
  </si>
  <si>
    <t>住戸、住戸と同様の熱的環境の空間又は外気に通じていない床裏</t>
    <rPh sb="0" eb="2">
      <t>ジュウコ</t>
    </rPh>
    <rPh sb="3" eb="5">
      <t>ジュウコ</t>
    </rPh>
    <rPh sb="6" eb="8">
      <t>ドウヨウ</t>
    </rPh>
    <rPh sb="9" eb="11">
      <t>ネツテキ</t>
    </rPh>
    <rPh sb="11" eb="13">
      <t>カンキョウ</t>
    </rPh>
    <rPh sb="14" eb="16">
      <t>クウカン</t>
    </rPh>
    <rPh sb="16" eb="17">
      <t>マタ</t>
    </rPh>
    <rPh sb="18" eb="20">
      <t>ガイキ</t>
    </rPh>
    <rPh sb="21" eb="22">
      <t>ツウ</t>
    </rPh>
    <rPh sb="27" eb="28">
      <t>ユカ</t>
    </rPh>
    <rPh sb="28" eb="29">
      <t>ウラ</t>
    </rPh>
    <phoneticPr fontId="1"/>
  </si>
  <si>
    <t>l_(ψ1v,i,j=0)</t>
  </si>
  <si>
    <t>l_(ψ1v,i,j=90)</t>
  </si>
  <si>
    <t>l_(ψ1v,i,j=180)</t>
  </si>
  <si>
    <t>l_(ψ1v,i,j=270)</t>
  </si>
  <si>
    <t>l_(ψ1h,r,i)</t>
  </si>
  <si>
    <t>l_(ψ1h,f,i)</t>
  </si>
  <si>
    <t>l_(ψ2v,i,j=0)</t>
  </si>
  <si>
    <t>l_(ψ2v,i,j=90)</t>
  </si>
  <si>
    <t>l_(ψ2v,i,j=180)</t>
  </si>
  <si>
    <t>l_(ψ2v,i,j=270)</t>
  </si>
  <si>
    <t>l_(ψ2h,r,i)</t>
  </si>
  <si>
    <t>l_(ψ3h,r,i)</t>
  </si>
  <si>
    <t>l_(ψ3h,f,i)</t>
  </si>
  <si>
    <t>l_(ψ4h,uf,i,j=0)</t>
  </si>
  <si>
    <t>l_(ψ4h,uf,i,j=90)</t>
  </si>
  <si>
    <t>l_(ψ4h,uf,i,j=180)</t>
  </si>
  <si>
    <t>l_(ψ4h,uf,i,j=270)</t>
  </si>
  <si>
    <t>l_(ψ5h,uf,i)</t>
  </si>
  <si>
    <t>地域</t>
    <rPh sb="0" eb="2">
      <t>チイキ</t>
    </rPh>
    <phoneticPr fontId="1"/>
  </si>
  <si>
    <t>ψ_1vの熱橋長さ</t>
    <rPh sb="5" eb="7">
      <t>ネッキョウ</t>
    </rPh>
    <rPh sb="7" eb="8">
      <t>ナガ</t>
    </rPh>
    <phoneticPr fontId="1"/>
  </si>
  <si>
    <t>ψ_(1h,r)の熱橋長さ</t>
    <rPh sb="9" eb="11">
      <t>ネッキョウ</t>
    </rPh>
    <rPh sb="11" eb="12">
      <t>ナガ</t>
    </rPh>
    <phoneticPr fontId="1"/>
  </si>
  <si>
    <t>ψ_(1h,f)の熱橋長さ</t>
    <rPh sb="9" eb="11">
      <t>ネッキョウ</t>
    </rPh>
    <rPh sb="11" eb="12">
      <t>ナガ</t>
    </rPh>
    <phoneticPr fontId="1"/>
  </si>
  <si>
    <t>ψ_2vの熱橋長さ</t>
    <rPh sb="5" eb="7">
      <t>ネッキョウ</t>
    </rPh>
    <rPh sb="7" eb="8">
      <t>ナガ</t>
    </rPh>
    <phoneticPr fontId="1"/>
  </si>
  <si>
    <t>ψ_(2h,r)の熱橋長さ</t>
    <rPh sb="9" eb="11">
      <t>ネッキョウ</t>
    </rPh>
    <rPh sb="11" eb="12">
      <t>ナガ</t>
    </rPh>
    <phoneticPr fontId="1"/>
  </si>
  <si>
    <t>ψ_(4h,uf)の熱橋長さ</t>
    <rPh sb="10" eb="12">
      <t>ネッキョウ</t>
    </rPh>
    <rPh sb="12" eb="13">
      <t>ナガ</t>
    </rPh>
    <phoneticPr fontId="1"/>
  </si>
  <si>
    <t>ψ_(5h,uf)の熱橋長さ</t>
    <rPh sb="10" eb="12">
      <t>ネッキョウ</t>
    </rPh>
    <rPh sb="12" eb="13">
      <t>ナガ</t>
    </rPh>
    <phoneticPr fontId="1"/>
  </si>
  <si>
    <t>l_(ψ2h,f1,i,j=0)</t>
    <phoneticPr fontId="1"/>
  </si>
  <si>
    <t>l_(ψ2h,f1,i,j=90)</t>
    <phoneticPr fontId="1"/>
  </si>
  <si>
    <t>l_(ψ2h,f1,i,j=180)</t>
    <phoneticPr fontId="1"/>
  </si>
  <si>
    <t>l_(ψ2h,f1,i,j=270)</t>
    <phoneticPr fontId="1"/>
  </si>
  <si>
    <t>(21-2)</t>
    <phoneticPr fontId="1"/>
  </si>
  <si>
    <t>(21-3)</t>
    <phoneticPr fontId="1"/>
  </si>
  <si>
    <t>(22-1)</t>
    <phoneticPr fontId="1"/>
  </si>
  <si>
    <t>(22-2)</t>
    <phoneticPr fontId="1"/>
  </si>
  <si>
    <t>(22-3)</t>
    <phoneticPr fontId="1"/>
  </si>
  <si>
    <t>(23-1)</t>
    <phoneticPr fontId="1"/>
  </si>
  <si>
    <t>(23-2)</t>
    <phoneticPr fontId="1"/>
  </si>
  <si>
    <t>(23-3)</t>
    <phoneticPr fontId="1"/>
  </si>
  <si>
    <t>(24-1)</t>
    <phoneticPr fontId="1"/>
  </si>
  <si>
    <t>(24-2)</t>
    <phoneticPr fontId="1"/>
  </si>
  <si>
    <t>(24-3)</t>
    <phoneticPr fontId="1"/>
  </si>
  <si>
    <t>φ_(2h,f1)</t>
    <phoneticPr fontId="1"/>
  </si>
  <si>
    <t>φ_(2h,f2)</t>
    <phoneticPr fontId="1"/>
  </si>
  <si>
    <t>ψ_(2h,f2)の熱橋長さ</t>
    <rPh sb="10" eb="12">
      <t>ネッキョウ</t>
    </rPh>
    <rPh sb="12" eb="13">
      <t>ナガ</t>
    </rPh>
    <phoneticPr fontId="1"/>
  </si>
  <si>
    <t>l_(ψ2h,f2,i)</t>
    <phoneticPr fontId="1"/>
  </si>
  <si>
    <t>i</t>
    <phoneticPr fontId="1"/>
  </si>
  <si>
    <t>「主開口部」は「主居室（LD等）における最大面積の窓」とする。
「北、北東、東、南東、南、南西、西、北西」の8方位から該当する方位を入力。</t>
    <rPh sb="1" eb="2">
      <t>シュ</t>
    </rPh>
    <rPh sb="2" eb="4">
      <t>カイコウ</t>
    </rPh>
    <rPh sb="4" eb="5">
      <t>ブ</t>
    </rPh>
    <rPh sb="8" eb="9">
      <t>シュ</t>
    </rPh>
    <rPh sb="9" eb="11">
      <t>キョシツ</t>
    </rPh>
    <rPh sb="14" eb="15">
      <t>トウ</t>
    </rPh>
    <rPh sb="20" eb="22">
      <t>サイダイ</t>
    </rPh>
    <rPh sb="22" eb="24">
      <t>メンセキ</t>
    </rPh>
    <rPh sb="25" eb="26">
      <t>マド</t>
    </rPh>
    <rPh sb="33" eb="34">
      <t>キタ</t>
    </rPh>
    <rPh sb="35" eb="37">
      <t>ホクトウ</t>
    </rPh>
    <rPh sb="38" eb="39">
      <t>ヒガシ</t>
    </rPh>
    <rPh sb="40" eb="42">
      <t>ナントウ</t>
    </rPh>
    <rPh sb="43" eb="44">
      <t>ミナミ</t>
    </rPh>
    <rPh sb="45" eb="47">
      <t>ナンセイ</t>
    </rPh>
    <rPh sb="48" eb="49">
      <t>ニシ</t>
    </rPh>
    <rPh sb="50" eb="52">
      <t>ホクセイ</t>
    </rPh>
    <rPh sb="55" eb="57">
      <t>ホウイ</t>
    </rPh>
    <rPh sb="59" eb="61">
      <t>ガイトウ</t>
    </rPh>
    <rPh sb="63" eb="65">
      <t>ホウイ</t>
    </rPh>
    <rPh sb="66" eb="68">
      <t>ニュウリョク</t>
    </rPh>
    <phoneticPr fontId="1"/>
  </si>
  <si>
    <t>線熱橋係数</t>
    <rPh sb="0" eb="1">
      <t>セン</t>
    </rPh>
    <rPh sb="1" eb="3">
      <t>ネッキョウ</t>
    </rPh>
    <rPh sb="3" eb="5">
      <t>ケイスウ</t>
    </rPh>
    <phoneticPr fontId="1"/>
  </si>
  <si>
    <r>
      <t xml:space="preserve">ψ_(2h,f1)の熱橋長さ
</t>
    </r>
    <r>
      <rPr>
        <sz val="10"/>
        <color rgb="FFFF0000"/>
        <rFont val="ＭＳ Ｐゴシック"/>
        <family val="3"/>
        <charset val="128"/>
        <scheme val="minor"/>
      </rPr>
      <t>※上下階分配に修正</t>
    </r>
    <rPh sb="10" eb="12">
      <t>ネッキョウ</t>
    </rPh>
    <rPh sb="12" eb="13">
      <t>ナガ</t>
    </rPh>
    <rPh sb="16" eb="18">
      <t>ジョウゲ</t>
    </rPh>
    <rPh sb="18" eb="19">
      <t>カイ</t>
    </rPh>
    <rPh sb="19" eb="21">
      <t>ブンパイ</t>
    </rPh>
    <rPh sb="22" eb="24">
      <t>シュウセイ</t>
    </rPh>
    <phoneticPr fontId="1"/>
  </si>
  <si>
    <r>
      <t xml:space="preserve">ψ_(3h,r)の熱橋長さ
</t>
    </r>
    <r>
      <rPr>
        <sz val="10"/>
        <color rgb="FFFF0000"/>
        <rFont val="ＭＳ Ｐゴシック"/>
        <family val="3"/>
        <charset val="128"/>
        <scheme val="minor"/>
      </rPr>
      <t>※上下階分配に修正</t>
    </r>
    <rPh sb="9" eb="11">
      <t>ネッキョウ</t>
    </rPh>
    <rPh sb="11" eb="12">
      <t>ナガ</t>
    </rPh>
    <phoneticPr fontId="1"/>
  </si>
  <si>
    <r>
      <t xml:space="preserve">ψ_(3h,f)の熱橋長さ
</t>
    </r>
    <r>
      <rPr>
        <sz val="10"/>
        <color rgb="FFFF0000"/>
        <rFont val="ＭＳ Ｐゴシック"/>
        <family val="3"/>
        <charset val="128"/>
        <scheme val="minor"/>
      </rPr>
      <t>※上下階分配に修正</t>
    </r>
    <rPh sb="9" eb="11">
      <t>ネッキョウ</t>
    </rPh>
    <rPh sb="11" eb="12">
      <t>ナガ</t>
    </rPh>
    <phoneticPr fontId="1"/>
  </si>
  <si>
    <t>号室</t>
    <rPh sb="0" eb="2">
      <t>ゴウシツ</t>
    </rPh>
    <phoneticPr fontId="1"/>
  </si>
  <si>
    <t>UA</t>
    <phoneticPr fontId="1"/>
  </si>
  <si>
    <t>1F</t>
    <phoneticPr fontId="1"/>
  </si>
  <si>
    <t>2F</t>
    <phoneticPr fontId="1"/>
  </si>
  <si>
    <t>3F</t>
    <phoneticPr fontId="1"/>
  </si>
  <si>
    <t>各住戸のドア面積</t>
    <rPh sb="0" eb="1">
      <t>カク</t>
    </rPh>
    <rPh sb="1" eb="3">
      <t>ジュウコ</t>
    </rPh>
    <rPh sb="6" eb="8">
      <t>メンセキ</t>
    </rPh>
    <phoneticPr fontId="1"/>
  </si>
  <si>
    <r>
      <t>m</t>
    </r>
    <r>
      <rPr>
        <vertAlign val="superscript"/>
        <sz val="10"/>
        <color theme="1"/>
        <rFont val="ＭＳ Ｐゴシック"/>
        <family val="3"/>
        <charset val="128"/>
        <scheme val="minor"/>
      </rPr>
      <t>2</t>
    </r>
    <phoneticPr fontId="1"/>
  </si>
  <si>
    <t>西側妻住戸</t>
    <rPh sb="0" eb="2">
      <t>ニシガワ</t>
    </rPh>
    <rPh sb="2" eb="3">
      <t>ツマ</t>
    </rPh>
    <rPh sb="3" eb="5">
      <t>ジュウコ</t>
    </rPh>
    <phoneticPr fontId="1"/>
  </si>
  <si>
    <t>東側の妻住戸</t>
    <rPh sb="0" eb="2">
      <t>ヒガシガワ</t>
    </rPh>
    <rPh sb="3" eb="4">
      <t>ツマ</t>
    </rPh>
    <rPh sb="4" eb="6">
      <t>ジュウコ</t>
    </rPh>
    <phoneticPr fontId="1"/>
  </si>
  <si>
    <t>（北）</t>
    <rPh sb="1" eb="2">
      <t>キタ</t>
    </rPh>
    <phoneticPr fontId="1"/>
  </si>
  <si>
    <t>ドアU値</t>
    <rPh sb="3" eb="4">
      <t>アタイ</t>
    </rPh>
    <phoneticPr fontId="1"/>
  </si>
  <si>
    <t>詳細</t>
    <rPh sb="0" eb="2">
      <t>ショウサイ</t>
    </rPh>
    <phoneticPr fontId="1"/>
  </si>
  <si>
    <t>追加想定</t>
    <rPh sb="0" eb="2">
      <t>ツイカ</t>
    </rPh>
    <rPh sb="2" eb="4">
      <t>ソウテイ</t>
    </rPh>
    <phoneticPr fontId="1"/>
  </si>
  <si>
    <t>m</t>
    <phoneticPr fontId="1"/>
  </si>
  <si>
    <t>本</t>
    <rPh sb="0" eb="1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</si>
</sst>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);[Red]\(0.00\)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vertAlign val="superscript"/>
      <sz val="10"/>
      <color theme="1"/>
      <name val="ＭＳ Ｐゴシック"/>
      <family val="3"/>
      <charset val="128"/>
      <scheme val="minor"/>
    </font>
    <font>
      <b/>
      <sz val="10"/>
      <color theme="9" tint="-0.499984740745262"/>
      <name val="ＭＳ Ｐゴシック"/>
      <family val="3"/>
      <charset val="128"/>
      <scheme val="minor"/>
    </font>
    <font>
      <u/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vertAlign val="superscript"/>
      <sz val="10"/>
      <name val="ＭＳ Ｐゴシック"/>
      <family val="3"/>
      <charset val="128"/>
      <scheme val="minor"/>
    </font>
    <font>
      <u/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/>
  </cellStyleXfs>
  <cellXfs count="35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3" fillId="2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shrinkToFit="1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 shrinkToFit="1"/>
    </xf>
    <xf numFmtId="0" fontId="3" fillId="0" borderId="0" xfId="0" applyNumberFormat="1" applyFont="1" applyAlignment="1">
      <alignment vertical="center" shrinkToFit="1"/>
    </xf>
    <xf numFmtId="0" fontId="3" fillId="2" borderId="2" xfId="0" applyNumberFormat="1" applyFont="1" applyFill="1" applyBorder="1" applyAlignment="1">
      <alignment horizontal="center" vertical="center" shrinkToFit="1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horizontal="center" vertical="center"/>
    </xf>
    <xf numFmtId="49" fontId="3" fillId="0" borderId="2" xfId="0" quotePrefix="1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 shrinkToFit="1"/>
    </xf>
    <xf numFmtId="0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9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vertical="center" shrinkToFit="1"/>
    </xf>
    <xf numFmtId="0" fontId="3" fillId="0" borderId="7" xfId="0" applyNumberFormat="1" applyFont="1" applyBorder="1" applyAlignment="1">
      <alignment vertical="center" shrinkToFit="1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 shrinkToFit="1"/>
    </xf>
    <xf numFmtId="176" fontId="7" fillId="0" borderId="7" xfId="0" applyNumberFormat="1" applyFont="1" applyBorder="1" applyAlignment="1">
      <alignment vertical="center"/>
    </xf>
    <xf numFmtId="176" fontId="7" fillId="0" borderId="9" xfId="0" applyNumberFormat="1" applyFont="1" applyBorder="1" applyAlignment="1">
      <alignment vertical="center"/>
    </xf>
    <xf numFmtId="176" fontId="7" fillId="0" borderId="5" xfId="0" applyNumberFormat="1" applyFont="1" applyBorder="1" applyAlignment="1">
      <alignment vertical="center"/>
    </xf>
    <xf numFmtId="176" fontId="3" fillId="2" borderId="2" xfId="0" applyNumberFormat="1" applyFont="1" applyFill="1" applyBorder="1" applyAlignment="1">
      <alignment horizontal="center" vertical="center" shrinkToFit="1"/>
    </xf>
    <xf numFmtId="0" fontId="3" fillId="5" borderId="27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2" borderId="2" xfId="0" applyNumberFormat="1" applyFont="1" applyFill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7" fontId="3" fillId="0" borderId="2" xfId="0" applyNumberFormat="1" applyFont="1" applyBorder="1" applyAlignment="1">
      <alignment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176" fontId="3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 shrinkToFit="1"/>
    </xf>
    <xf numFmtId="176" fontId="3" fillId="0" borderId="9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 shrinkToFit="1"/>
    </xf>
    <xf numFmtId="0" fontId="3" fillId="0" borderId="5" xfId="0" applyNumberFormat="1" applyFont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vertical="center" shrinkToFit="1"/>
    </xf>
    <xf numFmtId="0" fontId="3" fillId="0" borderId="32" xfId="0" applyNumberFormat="1" applyFont="1" applyBorder="1" applyAlignment="1">
      <alignment vertical="center" shrinkToFit="1"/>
    </xf>
    <xf numFmtId="0" fontId="3" fillId="0" borderId="32" xfId="0" applyNumberFormat="1" applyFont="1" applyBorder="1" applyAlignment="1">
      <alignment horizontal="center" vertical="center" shrinkToFit="1"/>
    </xf>
    <xf numFmtId="0" fontId="3" fillId="0" borderId="32" xfId="0" applyNumberFormat="1" applyFont="1" applyFill="1" applyBorder="1" applyAlignment="1">
      <alignment horizontal="center" vertical="center"/>
    </xf>
    <xf numFmtId="176" fontId="3" fillId="0" borderId="32" xfId="0" applyNumberFormat="1" applyFont="1" applyBorder="1" applyAlignment="1">
      <alignment vertical="center"/>
    </xf>
    <xf numFmtId="176" fontId="3" fillId="0" borderId="32" xfId="0" applyNumberFormat="1" applyFont="1" applyBorder="1" applyAlignment="1">
      <alignment vertical="center" shrinkToFit="1"/>
    </xf>
    <xf numFmtId="0" fontId="3" fillId="0" borderId="33" xfId="0" applyNumberFormat="1" applyFont="1" applyBorder="1" applyAlignment="1">
      <alignment vertical="center" shrinkToFit="1"/>
    </xf>
    <xf numFmtId="0" fontId="3" fillId="0" borderId="33" xfId="0" applyNumberFormat="1" applyFont="1" applyBorder="1" applyAlignment="1">
      <alignment horizontal="center" vertical="center" shrinkToFit="1"/>
    </xf>
    <xf numFmtId="0" fontId="3" fillId="0" borderId="33" xfId="0" applyNumberFormat="1" applyFont="1" applyFill="1" applyBorder="1" applyAlignment="1">
      <alignment horizontal="center" vertical="center"/>
    </xf>
    <xf numFmtId="176" fontId="3" fillId="0" borderId="33" xfId="0" applyNumberFormat="1" applyFont="1" applyBorder="1" applyAlignment="1">
      <alignment vertical="center"/>
    </xf>
    <xf numFmtId="176" fontId="3" fillId="0" borderId="33" xfId="0" applyNumberFormat="1" applyFont="1" applyBorder="1" applyAlignment="1">
      <alignment vertical="center" shrinkToFit="1"/>
    </xf>
    <xf numFmtId="0" fontId="3" fillId="0" borderId="34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176" fontId="7" fillId="0" borderId="32" xfId="0" applyNumberFormat="1" applyFont="1" applyBorder="1" applyAlignment="1">
      <alignment vertical="center"/>
    </xf>
    <xf numFmtId="176" fontId="3" fillId="0" borderId="9" xfId="0" applyNumberFormat="1" applyFont="1" applyFill="1" applyBorder="1" applyAlignment="1">
      <alignment vertical="center" shrinkToFit="1"/>
    </xf>
    <xf numFmtId="176" fontId="3" fillId="0" borderId="2" xfId="0" applyNumberFormat="1" applyFont="1" applyFill="1" applyBorder="1" applyAlignment="1">
      <alignment vertical="center" shrinkToFit="1"/>
    </xf>
    <xf numFmtId="176" fontId="3" fillId="0" borderId="5" xfId="0" applyNumberFormat="1" applyFont="1" applyFill="1" applyBorder="1" applyAlignment="1">
      <alignment vertical="center" shrinkToFit="1"/>
    </xf>
    <xf numFmtId="176" fontId="3" fillId="0" borderId="7" xfId="0" applyNumberFormat="1" applyFont="1" applyFill="1" applyBorder="1" applyAlignment="1">
      <alignment vertical="center" shrinkToFit="1"/>
    </xf>
    <xf numFmtId="0" fontId="3" fillId="0" borderId="32" xfId="0" applyNumberFormat="1" applyFont="1" applyBorder="1" applyAlignment="1">
      <alignment horizontal="center" vertical="center"/>
    </xf>
    <xf numFmtId="0" fontId="3" fillId="0" borderId="33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3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5" xfId="0" applyNumberFormat="1" applyFont="1" applyBorder="1" applyAlignment="1">
      <alignment vertical="center" shrinkToFit="1"/>
    </xf>
    <xf numFmtId="0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Fill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7" xfId="0" applyNumberFormat="1" applyFont="1" applyBorder="1" applyAlignment="1">
      <alignment vertical="center" shrinkToFit="1"/>
    </xf>
    <xf numFmtId="0" fontId="7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Fill="1" applyBorder="1" applyAlignment="1">
      <alignment vertical="center"/>
    </xf>
    <xf numFmtId="176" fontId="7" fillId="0" borderId="32" xfId="0" applyNumberFormat="1" applyFont="1" applyFill="1" applyBorder="1" applyAlignment="1">
      <alignment vertical="center"/>
    </xf>
    <xf numFmtId="0" fontId="7" fillId="0" borderId="34" xfId="0" applyNumberFormat="1" applyFont="1" applyBorder="1" applyAlignment="1">
      <alignment vertical="center"/>
    </xf>
    <xf numFmtId="0" fontId="7" fillId="0" borderId="9" xfId="0" applyNumberFormat="1" applyFont="1" applyBorder="1" applyAlignment="1">
      <alignment vertical="center" shrinkToFit="1"/>
    </xf>
    <xf numFmtId="0" fontId="7" fillId="0" borderId="9" xfId="0" applyNumberFormat="1" applyFont="1" applyBorder="1" applyAlignment="1">
      <alignment horizontal="center" vertical="center"/>
    </xf>
    <xf numFmtId="176" fontId="7" fillId="0" borderId="9" xfId="0" applyNumberFormat="1" applyFont="1" applyFill="1" applyBorder="1" applyAlignment="1">
      <alignment vertical="center"/>
    </xf>
    <xf numFmtId="0" fontId="7" fillId="0" borderId="10" xfId="0" applyNumberFormat="1" applyFont="1" applyBorder="1" applyAlignment="1">
      <alignment vertical="center"/>
    </xf>
    <xf numFmtId="0" fontId="7" fillId="0" borderId="33" xfId="0" applyNumberFormat="1" applyFont="1" applyBorder="1" applyAlignment="1">
      <alignment horizontal="center" vertical="center"/>
    </xf>
    <xf numFmtId="176" fontId="7" fillId="0" borderId="33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vertical="center" shrinkToFit="1"/>
    </xf>
    <xf numFmtId="0" fontId="7" fillId="0" borderId="5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 shrinkToFit="1"/>
    </xf>
    <xf numFmtId="0" fontId="7" fillId="0" borderId="7" xfId="0" applyNumberFormat="1" applyFont="1" applyBorder="1" applyAlignment="1">
      <alignment vertical="center"/>
    </xf>
    <xf numFmtId="49" fontId="7" fillId="0" borderId="9" xfId="0" applyNumberFormat="1" applyFont="1" applyBorder="1" applyAlignment="1">
      <alignment vertical="center" shrinkToFit="1"/>
    </xf>
    <xf numFmtId="0" fontId="7" fillId="0" borderId="9" xfId="0" applyNumberFormat="1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 shrinkToFit="1"/>
    </xf>
    <xf numFmtId="0" fontId="3" fillId="0" borderId="5" xfId="0" applyNumberFormat="1" applyFont="1" applyBorder="1" applyAlignment="1">
      <alignment vertical="center" shrinkToFit="1"/>
    </xf>
    <xf numFmtId="0" fontId="3" fillId="0" borderId="7" xfId="0" applyNumberFormat="1" applyFont="1" applyBorder="1" applyAlignment="1">
      <alignment vertical="center" shrinkToFit="1"/>
    </xf>
    <xf numFmtId="0" fontId="3" fillId="0" borderId="9" xfId="0" applyNumberFormat="1" applyFont="1" applyBorder="1" applyAlignment="1">
      <alignment vertical="center" shrinkToFit="1"/>
    </xf>
    <xf numFmtId="49" fontId="3" fillId="7" borderId="5" xfId="0" applyNumberFormat="1" applyFont="1" applyFill="1" applyBorder="1" applyAlignment="1">
      <alignment vertical="center" shrinkToFit="1"/>
    </xf>
    <xf numFmtId="0" fontId="3" fillId="7" borderId="5" xfId="0" applyNumberFormat="1" applyFont="1" applyFill="1" applyBorder="1" applyAlignment="1">
      <alignment vertical="center" shrinkToFit="1"/>
    </xf>
    <xf numFmtId="49" fontId="3" fillId="7" borderId="7" xfId="0" applyNumberFormat="1" applyFont="1" applyFill="1" applyBorder="1" applyAlignment="1">
      <alignment vertical="center" shrinkToFit="1"/>
    </xf>
    <xf numFmtId="0" fontId="3" fillId="7" borderId="7" xfId="0" applyNumberFormat="1" applyFont="1" applyFill="1" applyBorder="1" applyAlignment="1">
      <alignment vertical="center" shrinkToFit="1"/>
    </xf>
    <xf numFmtId="49" fontId="3" fillId="7" borderId="9" xfId="0" applyNumberFormat="1" applyFont="1" applyFill="1" applyBorder="1" applyAlignment="1">
      <alignment vertical="center" shrinkToFit="1"/>
    </xf>
    <xf numFmtId="0" fontId="3" fillId="7" borderId="9" xfId="0" applyNumberFormat="1" applyFont="1" applyFill="1" applyBorder="1" applyAlignment="1">
      <alignment vertical="center" shrinkToFit="1"/>
    </xf>
    <xf numFmtId="0" fontId="3" fillId="7" borderId="0" xfId="0" applyNumberFormat="1" applyFont="1" applyFill="1" applyAlignment="1">
      <alignment vertical="center" shrinkToFit="1"/>
    </xf>
    <xf numFmtId="0" fontId="3" fillId="7" borderId="5" xfId="0" applyNumberFormat="1" applyFont="1" applyFill="1" applyBorder="1" applyAlignment="1">
      <alignment horizontal="center" vertical="center"/>
    </xf>
    <xf numFmtId="176" fontId="3" fillId="7" borderId="5" xfId="0" applyNumberFormat="1" applyFont="1" applyFill="1" applyBorder="1" applyAlignment="1">
      <alignment vertical="center"/>
    </xf>
    <xf numFmtId="0" fontId="3" fillId="7" borderId="0" xfId="0" applyNumberFormat="1" applyFont="1" applyFill="1" applyAlignment="1">
      <alignment vertical="center"/>
    </xf>
    <xf numFmtId="0" fontId="3" fillId="7" borderId="7" xfId="0" applyNumberFormat="1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vertical="center"/>
    </xf>
    <xf numFmtId="0" fontId="3" fillId="7" borderId="0" xfId="0" applyNumberFormat="1" applyFont="1" applyFill="1" applyBorder="1" applyAlignment="1">
      <alignment vertical="center"/>
    </xf>
    <xf numFmtId="0" fontId="3" fillId="7" borderId="9" xfId="0" applyNumberFormat="1" applyFont="1" applyFill="1" applyBorder="1" applyAlignment="1">
      <alignment horizontal="center" vertical="center"/>
    </xf>
    <xf numFmtId="176" fontId="3" fillId="7" borderId="9" xfId="0" applyNumberFormat="1" applyFont="1" applyFill="1" applyBorder="1" applyAlignment="1">
      <alignment vertical="center"/>
    </xf>
    <xf numFmtId="0" fontId="3" fillId="7" borderId="7" xfId="0" applyNumberFormat="1" applyFont="1" applyFill="1" applyBorder="1" applyAlignment="1">
      <alignment horizontal="center" vertical="center" shrinkToFit="1"/>
    </xf>
    <xf numFmtId="176" fontId="7" fillId="7" borderId="7" xfId="0" applyNumberFormat="1" applyFont="1" applyFill="1" applyBorder="1" applyAlignment="1">
      <alignment vertical="center"/>
    </xf>
    <xf numFmtId="0" fontId="3" fillId="7" borderId="0" xfId="0" quotePrefix="1" applyNumberFormat="1" applyFont="1" applyFill="1" applyAlignment="1">
      <alignment vertical="center"/>
    </xf>
    <xf numFmtId="0" fontId="7" fillId="7" borderId="5" xfId="0" applyNumberFormat="1" applyFont="1" applyFill="1" applyBorder="1" applyAlignment="1">
      <alignment vertical="center" shrinkToFit="1"/>
    </xf>
    <xf numFmtId="0" fontId="7" fillId="7" borderId="5" xfId="0" applyNumberFormat="1" applyFont="1" applyFill="1" applyBorder="1" applyAlignment="1">
      <alignment horizontal="center" vertical="center" shrinkToFit="1"/>
    </xf>
    <xf numFmtId="0" fontId="7" fillId="7" borderId="7" xfId="0" applyNumberFormat="1" applyFont="1" applyFill="1" applyBorder="1" applyAlignment="1">
      <alignment vertical="center" shrinkToFit="1"/>
    </xf>
    <xf numFmtId="0" fontId="7" fillId="7" borderId="7" xfId="0" applyNumberFormat="1" applyFont="1" applyFill="1" applyBorder="1" applyAlignment="1">
      <alignment horizontal="center" vertical="center" shrinkToFit="1"/>
    </xf>
    <xf numFmtId="0" fontId="7" fillId="7" borderId="32" xfId="0" applyNumberFormat="1" applyFont="1" applyFill="1" applyBorder="1" applyAlignment="1">
      <alignment vertical="center" shrinkToFit="1"/>
    </xf>
    <xf numFmtId="0" fontId="7" fillId="7" borderId="32" xfId="0" applyNumberFormat="1" applyFont="1" applyFill="1" applyBorder="1" applyAlignment="1">
      <alignment horizontal="center" vertical="center" shrinkToFit="1"/>
    </xf>
    <xf numFmtId="0" fontId="7" fillId="7" borderId="9" xfId="0" applyNumberFormat="1" applyFont="1" applyFill="1" applyBorder="1" applyAlignment="1">
      <alignment vertical="center" shrinkToFit="1"/>
    </xf>
    <xf numFmtId="0" fontId="7" fillId="7" borderId="9" xfId="0" applyNumberFormat="1" applyFont="1" applyFill="1" applyBorder="1" applyAlignment="1">
      <alignment horizontal="center" vertical="center" shrinkToFit="1"/>
    </xf>
    <xf numFmtId="0" fontId="7" fillId="7" borderId="33" xfId="0" applyNumberFormat="1" applyFont="1" applyFill="1" applyBorder="1" applyAlignment="1">
      <alignment vertical="center" shrinkToFit="1"/>
    </xf>
    <xf numFmtId="0" fontId="7" fillId="7" borderId="33" xfId="0" applyNumberFormat="1" applyFont="1" applyFill="1" applyBorder="1" applyAlignment="1">
      <alignment horizontal="center" vertical="center" shrinkToFit="1"/>
    </xf>
    <xf numFmtId="0" fontId="7" fillId="7" borderId="7" xfId="0" applyNumberFormat="1" applyFont="1" applyFill="1" applyBorder="1" applyAlignment="1">
      <alignment horizontal="center" vertical="center"/>
    </xf>
    <xf numFmtId="0" fontId="7" fillId="7" borderId="32" xfId="0" applyNumberFormat="1" applyFont="1" applyFill="1" applyBorder="1" applyAlignment="1">
      <alignment horizontal="center" vertical="center"/>
    </xf>
    <xf numFmtId="176" fontId="7" fillId="7" borderId="32" xfId="0" applyNumberFormat="1" applyFont="1" applyFill="1" applyBorder="1" applyAlignment="1">
      <alignment vertical="center"/>
    </xf>
    <xf numFmtId="0" fontId="7" fillId="7" borderId="9" xfId="0" applyNumberFormat="1" applyFont="1" applyFill="1" applyBorder="1" applyAlignment="1">
      <alignment horizontal="center" vertical="center"/>
    </xf>
    <xf numFmtId="176" fontId="7" fillId="7" borderId="9" xfId="0" applyNumberFormat="1" applyFont="1" applyFill="1" applyBorder="1" applyAlignment="1">
      <alignment vertical="center"/>
    </xf>
    <xf numFmtId="0" fontId="3" fillId="7" borderId="5" xfId="0" applyNumberFormat="1" applyFont="1" applyFill="1" applyBorder="1" applyAlignment="1">
      <alignment horizontal="center" vertical="center" shrinkToFit="1"/>
    </xf>
    <xf numFmtId="0" fontId="3" fillId="7" borderId="32" xfId="0" applyNumberFormat="1" applyFont="1" applyFill="1" applyBorder="1" applyAlignment="1">
      <alignment vertical="center" shrinkToFit="1"/>
    </xf>
    <xf numFmtId="0" fontId="3" fillId="7" borderId="32" xfId="0" applyNumberFormat="1" applyFont="1" applyFill="1" applyBorder="1" applyAlignment="1">
      <alignment horizontal="center" vertical="center" shrinkToFit="1"/>
    </xf>
    <xf numFmtId="0" fontId="3" fillId="7" borderId="9" xfId="0" applyNumberFormat="1" applyFont="1" applyFill="1" applyBorder="1" applyAlignment="1">
      <alignment horizontal="center" vertical="center" shrinkToFit="1"/>
    </xf>
    <xf numFmtId="0" fontId="3" fillId="7" borderId="33" xfId="0" applyNumberFormat="1" applyFont="1" applyFill="1" applyBorder="1" applyAlignment="1">
      <alignment vertical="center" shrinkToFit="1"/>
    </xf>
    <xf numFmtId="0" fontId="3" fillId="7" borderId="33" xfId="0" applyNumberFormat="1" applyFont="1" applyFill="1" applyBorder="1" applyAlignment="1">
      <alignment horizontal="center" vertical="center" shrinkToFit="1"/>
    </xf>
    <xf numFmtId="0" fontId="3" fillId="7" borderId="32" xfId="0" applyNumberFormat="1" applyFont="1" applyFill="1" applyBorder="1" applyAlignment="1">
      <alignment horizontal="center" vertical="center"/>
    </xf>
    <xf numFmtId="176" fontId="3" fillId="7" borderId="32" xfId="0" applyNumberFormat="1" applyFont="1" applyFill="1" applyBorder="1" applyAlignment="1">
      <alignment vertical="center"/>
    </xf>
    <xf numFmtId="176" fontId="3" fillId="0" borderId="33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shrinkToFit="1"/>
    </xf>
    <xf numFmtId="0" fontId="3" fillId="5" borderId="6" xfId="0" applyFont="1" applyFill="1" applyBorder="1" applyAlignment="1">
      <alignment vertical="center" shrinkToFi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3" fillId="0" borderId="10" xfId="0" applyNumberFormat="1" applyFont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3" fillId="0" borderId="2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3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26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25" xfId="0" applyFont="1" applyBorder="1" applyAlignment="1">
      <alignment vertical="center" shrinkToFit="1"/>
    </xf>
    <xf numFmtId="0" fontId="3" fillId="0" borderId="2" xfId="0" applyNumberFormat="1" applyFont="1" applyFill="1" applyBorder="1" applyAlignment="1">
      <alignment vertical="center" shrinkToFit="1"/>
    </xf>
    <xf numFmtId="49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6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3" fillId="0" borderId="29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6" fontId="3" fillId="0" borderId="27" xfId="0" applyNumberFormat="1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49" fontId="3" fillId="0" borderId="35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2" xfId="0" applyFont="1" applyBorder="1" applyAlignment="1">
      <alignment vertical="center" shrinkToFit="1"/>
    </xf>
    <xf numFmtId="0" fontId="3" fillId="0" borderId="9" xfId="0" applyFont="1" applyBorder="1" applyAlignment="1">
      <alignment vertical="center"/>
    </xf>
    <xf numFmtId="0" fontId="3" fillId="0" borderId="7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49" fontId="3" fillId="0" borderId="33" xfId="0" applyNumberFormat="1" applyFont="1" applyBorder="1" applyAlignment="1">
      <alignment vertical="center" shrinkToFit="1"/>
    </xf>
    <xf numFmtId="49" fontId="3" fillId="0" borderId="33" xfId="0" applyNumberFormat="1" applyFont="1" applyBorder="1" applyAlignment="1">
      <alignment horizontal="center" vertical="center"/>
    </xf>
    <xf numFmtId="0" fontId="3" fillId="0" borderId="33" xfId="0" applyNumberFormat="1" applyFont="1" applyBorder="1" applyAlignment="1">
      <alignment vertical="center" shrinkToFit="1"/>
    </xf>
    <xf numFmtId="0" fontId="3" fillId="0" borderId="4" xfId="0" applyNumberFormat="1" applyFont="1" applyBorder="1" applyAlignment="1">
      <alignment vertical="center" shrinkToFit="1"/>
    </xf>
    <xf numFmtId="0" fontId="3" fillId="0" borderId="6" xfId="0" applyNumberFormat="1" applyFont="1" applyBorder="1" applyAlignment="1">
      <alignment vertical="center" shrinkToFit="1"/>
    </xf>
    <xf numFmtId="0" fontId="3" fillId="0" borderId="8" xfId="0" applyNumberFormat="1" applyFont="1" applyBorder="1" applyAlignment="1">
      <alignment vertical="center" shrinkToFit="1"/>
    </xf>
    <xf numFmtId="0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23" xfId="0" applyNumberFormat="1" applyFont="1" applyBorder="1" applyAlignment="1">
      <alignment vertical="center" shrinkToFit="1"/>
    </xf>
    <xf numFmtId="49" fontId="7" fillId="7" borderId="5" xfId="0" applyNumberFormat="1" applyFont="1" applyFill="1" applyBorder="1" applyAlignment="1">
      <alignment vertical="center" shrinkToFit="1"/>
    </xf>
    <xf numFmtId="0" fontId="11" fillId="7" borderId="7" xfId="0" applyFont="1" applyFill="1" applyBorder="1" applyAlignment="1">
      <alignment vertical="center" shrinkToFit="1"/>
    </xf>
    <xf numFmtId="0" fontId="11" fillId="7" borderId="32" xfId="0" applyFont="1" applyFill="1" applyBorder="1" applyAlignment="1">
      <alignment vertical="center" shrinkToFit="1"/>
    </xf>
    <xf numFmtId="0" fontId="7" fillId="7" borderId="5" xfId="0" applyNumberFormat="1" applyFont="1" applyFill="1" applyBorder="1" applyAlignment="1">
      <alignment vertical="center" wrapText="1" shrinkToFit="1"/>
    </xf>
    <xf numFmtId="0" fontId="11" fillId="7" borderId="9" xfId="0" applyFont="1" applyFill="1" applyBorder="1" applyAlignment="1">
      <alignment vertical="center" shrinkToFit="1"/>
    </xf>
    <xf numFmtId="0" fontId="7" fillId="7" borderId="5" xfId="0" applyNumberFormat="1" applyFont="1" applyFill="1" applyBorder="1" applyAlignment="1">
      <alignment vertical="center" shrinkToFit="1"/>
    </xf>
    <xf numFmtId="0" fontId="7" fillId="7" borderId="7" xfId="0" applyFont="1" applyFill="1" applyBorder="1" applyAlignment="1">
      <alignment vertical="center" shrinkToFit="1"/>
    </xf>
    <xf numFmtId="0" fontId="7" fillId="7" borderId="32" xfId="0" applyFont="1" applyFill="1" applyBorder="1" applyAlignment="1">
      <alignment vertical="center" shrinkToFit="1"/>
    </xf>
    <xf numFmtId="0" fontId="7" fillId="7" borderId="9" xfId="0" applyFont="1" applyFill="1" applyBorder="1" applyAlignment="1">
      <alignment vertical="center" shrinkToFit="1"/>
    </xf>
    <xf numFmtId="49" fontId="7" fillId="7" borderId="7" xfId="0" applyNumberFormat="1" applyFont="1" applyFill="1" applyBorder="1" applyAlignment="1">
      <alignment vertical="center" shrinkToFit="1"/>
    </xf>
    <xf numFmtId="0" fontId="7" fillId="7" borderId="33" xfId="0" applyNumberFormat="1" applyFont="1" applyFill="1" applyBorder="1" applyAlignment="1">
      <alignment vertical="center" shrinkToFit="1"/>
    </xf>
    <xf numFmtId="0" fontId="7" fillId="7" borderId="7" xfId="0" applyNumberFormat="1" applyFont="1" applyFill="1" applyBorder="1" applyAlignment="1">
      <alignment vertical="center" shrinkToFit="1"/>
    </xf>
    <xf numFmtId="49" fontId="3" fillId="7" borderId="5" xfId="0" applyNumberFormat="1" applyFont="1" applyFill="1" applyBorder="1" applyAlignment="1">
      <alignment vertical="center" shrinkToFit="1"/>
    </xf>
    <xf numFmtId="0" fontId="0" fillId="7" borderId="7" xfId="0" applyFill="1" applyBorder="1" applyAlignment="1">
      <alignment vertical="center" shrinkToFit="1"/>
    </xf>
    <xf numFmtId="0" fontId="0" fillId="7" borderId="32" xfId="0" applyFill="1" applyBorder="1" applyAlignment="1">
      <alignment vertical="center" shrinkToFit="1"/>
    </xf>
    <xf numFmtId="0" fontId="3" fillId="7" borderId="5" xfId="0" applyNumberFormat="1" applyFont="1" applyFill="1" applyBorder="1" applyAlignment="1">
      <alignment vertical="center" shrinkToFit="1"/>
    </xf>
    <xf numFmtId="0" fontId="0" fillId="7" borderId="9" xfId="0" applyFill="1" applyBorder="1" applyAlignment="1">
      <alignment vertical="center" shrinkToFit="1"/>
    </xf>
    <xf numFmtId="0" fontId="3" fillId="7" borderId="7" xfId="0" applyFont="1" applyFill="1" applyBorder="1" applyAlignment="1">
      <alignment vertical="center" shrinkToFit="1"/>
    </xf>
    <xf numFmtId="0" fontId="3" fillId="7" borderId="32" xfId="0" applyFont="1" applyFill="1" applyBorder="1" applyAlignment="1">
      <alignment vertical="center" shrinkToFit="1"/>
    </xf>
    <xf numFmtId="0" fontId="3" fillId="7" borderId="9" xfId="0" applyFont="1" applyFill="1" applyBorder="1" applyAlignment="1">
      <alignment vertical="center" shrinkToFit="1"/>
    </xf>
    <xf numFmtId="49" fontId="3" fillId="7" borderId="33" xfId="0" applyNumberFormat="1" applyFont="1" applyFill="1" applyBorder="1" applyAlignment="1">
      <alignment vertical="center" shrinkToFit="1"/>
    </xf>
    <xf numFmtId="0" fontId="3" fillId="7" borderId="33" xfId="0" applyNumberFormat="1" applyFont="1" applyFill="1" applyBorder="1" applyAlignment="1">
      <alignment vertical="center" shrinkToFit="1"/>
    </xf>
    <xf numFmtId="49" fontId="3" fillId="7" borderId="5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49" fontId="3" fillId="7" borderId="33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vertical="center" wrapText="1" shrinkToFit="1"/>
    </xf>
    <xf numFmtId="0" fontId="3" fillId="0" borderId="5" xfId="0" applyNumberFormat="1" applyFont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3" fillId="7" borderId="5" xfId="0" applyNumberFormat="1" applyFont="1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9" xfId="0" applyFill="1" applyBorder="1" applyAlignment="1">
      <alignment horizontal="center" vertical="center" shrinkToFit="1"/>
    </xf>
    <xf numFmtId="0" fontId="7" fillId="0" borderId="5" xfId="0" applyNumberFormat="1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7" fillId="0" borderId="5" xfId="0" applyNumberFormat="1" applyFont="1" applyBorder="1" applyAlignment="1">
      <alignment vertical="center" shrinkToFit="1"/>
    </xf>
    <xf numFmtId="0" fontId="11" fillId="0" borderId="7" xfId="0" applyFont="1" applyBorder="1" applyAlignment="1">
      <alignment vertical="center" shrinkToFit="1"/>
    </xf>
    <xf numFmtId="0" fontId="11" fillId="0" borderId="9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409575</xdr:colOff>
      <xdr:row>15</xdr:row>
      <xdr:rowOff>190500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12134850" y="3686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" workbookViewId="0">
      <selection activeCell="E18" sqref="E18"/>
    </sheetView>
  </sheetViews>
  <sheetFormatPr defaultRowHeight="12" x14ac:dyDescent="0.15"/>
  <cols>
    <col min="1" max="1" width="3.75" style="5" bestFit="1" customWidth="1"/>
    <col min="2" max="2" width="11.375" style="1" bestFit="1" customWidth="1"/>
    <col min="3" max="3" width="25" style="28" customWidth="1"/>
    <col min="4" max="4" width="7.5" style="5" bestFit="1" customWidth="1"/>
    <col min="5" max="7" width="9" style="22"/>
    <col min="8" max="8" width="46" style="8" bestFit="1" customWidth="1"/>
    <col min="9" max="16384" width="9" style="1"/>
  </cols>
  <sheetData>
    <row r="1" spans="1:8" ht="18.75" customHeight="1" x14ac:dyDescent="0.15">
      <c r="A1" s="1" t="s">
        <v>13</v>
      </c>
      <c r="D1" s="1"/>
      <c r="H1" s="6"/>
    </row>
    <row r="2" spans="1:8" ht="18.75" customHeight="1" x14ac:dyDescent="0.15">
      <c r="A2" s="1"/>
      <c r="D2" s="2"/>
      <c r="H2" s="6"/>
    </row>
    <row r="3" spans="1:8" ht="18.75" customHeight="1" x14ac:dyDescent="0.15">
      <c r="A3" s="245" t="s">
        <v>66</v>
      </c>
      <c r="B3" s="214"/>
      <c r="C3" s="242" t="s">
        <v>11</v>
      </c>
      <c r="D3" s="243"/>
      <c r="E3" s="243"/>
      <c r="F3" s="243"/>
      <c r="G3" s="243"/>
      <c r="H3" s="244"/>
    </row>
    <row r="4" spans="1:8" ht="18.75" customHeight="1" x14ac:dyDescent="0.15"/>
    <row r="5" spans="1:8" s="5" customFormat="1" ht="18.75" customHeight="1" x14ac:dyDescent="0.15">
      <c r="A5" s="3" t="s">
        <v>12</v>
      </c>
      <c r="B5" s="213" t="s">
        <v>0</v>
      </c>
      <c r="C5" s="213"/>
      <c r="D5" s="4" t="s">
        <v>1</v>
      </c>
      <c r="E5" s="214" t="s">
        <v>13</v>
      </c>
      <c r="F5" s="214"/>
      <c r="G5" s="214"/>
      <c r="H5" s="7" t="s">
        <v>14</v>
      </c>
    </row>
    <row r="6" spans="1:8" s="5" customFormat="1" ht="18.75" customHeight="1" x14ac:dyDescent="0.15">
      <c r="A6" s="215" t="s">
        <v>15</v>
      </c>
      <c r="B6" s="216"/>
      <c r="C6" s="216"/>
      <c r="D6" s="216"/>
      <c r="E6" s="216"/>
      <c r="F6" s="216"/>
      <c r="G6" s="216"/>
      <c r="H6" s="216"/>
    </row>
    <row r="7" spans="1:8" ht="18.75" customHeight="1" x14ac:dyDescent="0.15">
      <c r="A7" s="9">
        <v>1</v>
      </c>
      <c r="B7" s="217" t="s">
        <v>16</v>
      </c>
      <c r="C7" s="217"/>
      <c r="D7" s="10" t="s">
        <v>228</v>
      </c>
      <c r="E7" s="218">
        <v>6</v>
      </c>
      <c r="F7" s="218"/>
      <c r="G7" s="218"/>
      <c r="H7" s="11"/>
    </row>
    <row r="8" spans="1:8" ht="24" x14ac:dyDescent="0.15">
      <c r="A8" s="12">
        <v>2</v>
      </c>
      <c r="B8" s="211" t="s">
        <v>18</v>
      </c>
      <c r="C8" s="211"/>
      <c r="D8" s="13" t="s">
        <v>19</v>
      </c>
      <c r="E8" s="212" t="s">
        <v>20</v>
      </c>
      <c r="F8" s="212"/>
      <c r="G8" s="212"/>
      <c r="H8" s="14" t="s">
        <v>67</v>
      </c>
    </row>
    <row r="9" spans="1:8" ht="18.75" customHeight="1" x14ac:dyDescent="0.15">
      <c r="A9" s="12">
        <v>3</v>
      </c>
      <c r="B9" s="211" t="s">
        <v>4</v>
      </c>
      <c r="C9" s="211"/>
      <c r="D9" s="13" t="s">
        <v>5</v>
      </c>
      <c r="E9" s="212">
        <v>3</v>
      </c>
      <c r="F9" s="212"/>
      <c r="G9" s="212"/>
      <c r="H9" s="14"/>
    </row>
    <row r="10" spans="1:8" ht="18.75" customHeight="1" x14ac:dyDescent="0.15">
      <c r="A10" s="12">
        <v>4</v>
      </c>
      <c r="B10" s="211" t="s">
        <v>21</v>
      </c>
      <c r="C10" s="211"/>
      <c r="D10" s="13" t="s">
        <v>22</v>
      </c>
      <c r="E10" s="212">
        <v>9.1</v>
      </c>
      <c r="F10" s="212"/>
      <c r="G10" s="212"/>
      <c r="H10" s="14"/>
    </row>
    <row r="11" spans="1:8" ht="36" x14ac:dyDescent="0.15">
      <c r="A11" s="12">
        <v>5</v>
      </c>
      <c r="B11" s="219" t="s">
        <v>23</v>
      </c>
      <c r="C11" s="219"/>
      <c r="D11" s="13" t="s">
        <v>24</v>
      </c>
      <c r="E11" s="212" t="s">
        <v>25</v>
      </c>
      <c r="F11" s="212"/>
      <c r="G11" s="212"/>
      <c r="H11" s="14" t="s">
        <v>256</v>
      </c>
    </row>
    <row r="12" spans="1:8" ht="18.75" customHeight="1" x14ac:dyDescent="0.15">
      <c r="A12" s="221">
        <v>6</v>
      </c>
      <c r="B12" s="219" t="s">
        <v>26</v>
      </c>
      <c r="C12" s="219"/>
      <c r="D12" s="222" t="s">
        <v>68</v>
      </c>
      <c r="E12" s="23" t="s">
        <v>8</v>
      </c>
      <c r="F12" s="24" t="s">
        <v>9</v>
      </c>
      <c r="G12" s="29" t="s">
        <v>10</v>
      </c>
      <c r="H12" s="223" t="s">
        <v>69</v>
      </c>
    </row>
    <row r="13" spans="1:8" ht="18.75" customHeight="1" x14ac:dyDescent="0.15">
      <c r="A13" s="221"/>
      <c r="B13" s="219"/>
      <c r="C13" s="219"/>
      <c r="D13" s="222"/>
      <c r="E13" s="15">
        <f>162.64+68.82</f>
        <v>231.45999999999998</v>
      </c>
      <c r="F13" s="16">
        <f>162.64+59.7</f>
        <v>222.33999999999997</v>
      </c>
      <c r="G13" s="30">
        <f>162.64+59.7</f>
        <v>222.33999999999997</v>
      </c>
      <c r="H13" s="223"/>
    </row>
    <row r="14" spans="1:8" ht="18.75" customHeight="1" x14ac:dyDescent="0.15">
      <c r="A14" s="17">
        <v>7</v>
      </c>
      <c r="B14" s="224" t="s">
        <v>27</v>
      </c>
      <c r="C14" s="224"/>
      <c r="D14" s="18" t="s">
        <v>28</v>
      </c>
      <c r="E14" s="19">
        <v>4</v>
      </c>
      <c r="F14" s="20">
        <v>4</v>
      </c>
      <c r="G14" s="31">
        <v>4</v>
      </c>
      <c r="H14" s="21"/>
    </row>
    <row r="15" spans="1:8" ht="18.75" customHeight="1" x14ac:dyDescent="0.15">
      <c r="A15" s="215" t="s">
        <v>29</v>
      </c>
      <c r="B15" s="216"/>
      <c r="C15" s="216"/>
      <c r="D15" s="216"/>
      <c r="E15" s="216"/>
      <c r="F15" s="216"/>
      <c r="G15" s="216"/>
      <c r="H15" s="216"/>
    </row>
    <row r="16" spans="1:8" ht="18.75" customHeight="1" x14ac:dyDescent="0.15">
      <c r="A16" s="225">
        <v>8</v>
      </c>
      <c r="B16" s="226" t="s">
        <v>30</v>
      </c>
      <c r="C16" s="226" t="s">
        <v>31</v>
      </c>
      <c r="D16" s="228" t="s">
        <v>32</v>
      </c>
      <c r="E16" s="25" t="s">
        <v>8</v>
      </c>
      <c r="F16" s="26" t="s">
        <v>9</v>
      </c>
      <c r="G16" s="32" t="s">
        <v>10</v>
      </c>
      <c r="H16" s="229"/>
    </row>
    <row r="17" spans="1:8" ht="18.75" customHeight="1" x14ac:dyDescent="0.15">
      <c r="A17" s="221"/>
      <c r="B17" s="227"/>
      <c r="C17" s="227"/>
      <c r="D17" s="222"/>
      <c r="E17" s="15">
        <v>66.56</v>
      </c>
      <c r="F17" s="16">
        <v>66.56</v>
      </c>
      <c r="G17" s="30">
        <v>66.56</v>
      </c>
      <c r="H17" s="223"/>
    </row>
    <row r="18" spans="1:8" ht="18.75" customHeight="1" x14ac:dyDescent="0.15">
      <c r="A18" s="12">
        <v>9</v>
      </c>
      <c r="B18" s="27" t="s">
        <v>30</v>
      </c>
      <c r="C18" s="27" t="s">
        <v>33</v>
      </c>
      <c r="D18" s="13" t="s">
        <v>34</v>
      </c>
      <c r="E18" s="15">
        <v>0</v>
      </c>
      <c r="F18" s="16">
        <v>0</v>
      </c>
      <c r="G18" s="30">
        <v>0</v>
      </c>
      <c r="H18" s="14"/>
    </row>
    <row r="19" spans="1:8" ht="18.75" customHeight="1" x14ac:dyDescent="0.15">
      <c r="A19" s="12">
        <v>10</v>
      </c>
      <c r="B19" s="27" t="s">
        <v>30</v>
      </c>
      <c r="C19" s="27" t="s">
        <v>35</v>
      </c>
      <c r="D19" s="13" t="s">
        <v>22</v>
      </c>
      <c r="E19" s="15">
        <v>0</v>
      </c>
      <c r="F19" s="16">
        <v>0</v>
      </c>
      <c r="G19" s="30">
        <v>0</v>
      </c>
      <c r="H19" s="14" t="s">
        <v>36</v>
      </c>
    </row>
    <row r="20" spans="1:8" ht="40.5" x14ac:dyDescent="0.15">
      <c r="A20" s="33">
        <v>11</v>
      </c>
      <c r="B20" s="220" t="s">
        <v>37</v>
      </c>
      <c r="C20" s="220"/>
      <c r="D20" s="34" t="s">
        <v>70</v>
      </c>
      <c r="E20" s="35">
        <v>30.48</v>
      </c>
      <c r="F20" s="36">
        <v>30.64</v>
      </c>
      <c r="G20" s="37">
        <v>30.64</v>
      </c>
      <c r="H20" s="38" t="s">
        <v>71</v>
      </c>
    </row>
    <row r="21" spans="1:8" ht="18.75" customHeight="1" x14ac:dyDescent="0.15">
      <c r="A21" s="33">
        <v>12</v>
      </c>
      <c r="B21" s="220" t="s">
        <v>38</v>
      </c>
      <c r="C21" s="220"/>
      <c r="D21" s="34" t="s">
        <v>70</v>
      </c>
      <c r="E21" s="35">
        <v>0</v>
      </c>
      <c r="F21" s="36">
        <v>0</v>
      </c>
      <c r="G21" s="37" t="s">
        <v>17</v>
      </c>
      <c r="H21" s="38"/>
    </row>
    <row r="22" spans="1:8" ht="18.75" customHeight="1" x14ac:dyDescent="0.15">
      <c r="A22" s="33">
        <v>13</v>
      </c>
      <c r="B22" s="220" t="s">
        <v>39</v>
      </c>
      <c r="C22" s="220"/>
      <c r="D22" s="34" t="s">
        <v>70</v>
      </c>
      <c r="E22" s="35" t="s">
        <v>17</v>
      </c>
      <c r="F22" s="36">
        <v>0</v>
      </c>
      <c r="G22" s="37">
        <v>0</v>
      </c>
      <c r="H22" s="38"/>
    </row>
    <row r="23" spans="1:8" ht="18.75" customHeight="1" x14ac:dyDescent="0.15">
      <c r="A23" s="230">
        <v>14</v>
      </c>
      <c r="B23" s="231" t="s">
        <v>40</v>
      </c>
      <c r="C23" s="39" t="s">
        <v>41</v>
      </c>
      <c r="D23" s="34" t="s">
        <v>72</v>
      </c>
      <c r="E23" s="232">
        <v>0.78500000000000003</v>
      </c>
      <c r="F23" s="232"/>
      <c r="G23" s="232"/>
      <c r="H23" s="38" t="s">
        <v>73</v>
      </c>
    </row>
    <row r="24" spans="1:8" ht="18.75" customHeight="1" x14ac:dyDescent="0.15">
      <c r="A24" s="230"/>
      <c r="B24" s="231"/>
      <c r="C24" s="39" t="s">
        <v>42</v>
      </c>
      <c r="D24" s="34" t="s">
        <v>17</v>
      </c>
      <c r="E24" s="232" t="s">
        <v>43</v>
      </c>
      <c r="F24" s="232"/>
      <c r="G24" s="232"/>
      <c r="H24" s="38" t="s">
        <v>44</v>
      </c>
    </row>
    <row r="25" spans="1:8" ht="18.75" customHeight="1" x14ac:dyDescent="0.15">
      <c r="A25" s="230"/>
      <c r="B25" s="231"/>
      <c r="C25" s="39" t="s">
        <v>45</v>
      </c>
      <c r="D25" s="40" t="s">
        <v>17</v>
      </c>
      <c r="E25" s="232" t="s">
        <v>46</v>
      </c>
      <c r="F25" s="232"/>
      <c r="G25" s="232"/>
      <c r="H25" s="38" t="s">
        <v>47</v>
      </c>
    </row>
    <row r="26" spans="1:8" ht="18.75" customHeight="1" x14ac:dyDescent="0.15">
      <c r="A26" s="230">
        <v>15</v>
      </c>
      <c r="B26" s="231" t="s">
        <v>48</v>
      </c>
      <c r="C26" s="39" t="s">
        <v>41</v>
      </c>
      <c r="D26" s="34" t="s">
        <v>72</v>
      </c>
      <c r="E26" s="232">
        <v>0.41699999999999998</v>
      </c>
      <c r="F26" s="232"/>
      <c r="G26" s="232"/>
      <c r="H26" s="233" t="s">
        <v>74</v>
      </c>
    </row>
    <row r="27" spans="1:8" ht="18.75" customHeight="1" x14ac:dyDescent="0.15">
      <c r="A27" s="230"/>
      <c r="B27" s="231"/>
      <c r="C27" s="39" t="s">
        <v>42</v>
      </c>
      <c r="D27" s="34" t="s">
        <v>17</v>
      </c>
      <c r="E27" s="232" t="s">
        <v>49</v>
      </c>
      <c r="F27" s="232"/>
      <c r="G27" s="232"/>
      <c r="H27" s="233"/>
    </row>
    <row r="28" spans="1:8" ht="18.75" customHeight="1" x14ac:dyDescent="0.15">
      <c r="A28" s="230"/>
      <c r="B28" s="231"/>
      <c r="C28" s="39" t="s">
        <v>45</v>
      </c>
      <c r="D28" s="40" t="s">
        <v>19</v>
      </c>
      <c r="E28" s="232" t="s">
        <v>46</v>
      </c>
      <c r="F28" s="232"/>
      <c r="G28" s="232"/>
      <c r="H28" s="233"/>
    </row>
    <row r="29" spans="1:8" ht="18.75" customHeight="1" x14ac:dyDescent="0.15">
      <c r="A29" s="230">
        <v>16</v>
      </c>
      <c r="B29" s="231" t="s">
        <v>50</v>
      </c>
      <c r="C29" s="39" t="s">
        <v>41</v>
      </c>
      <c r="D29" s="34" t="s">
        <v>75</v>
      </c>
      <c r="E29" s="232">
        <v>0.50700000000000001</v>
      </c>
      <c r="F29" s="232"/>
      <c r="G29" s="232"/>
      <c r="H29" s="233"/>
    </row>
    <row r="30" spans="1:8" ht="18.75" customHeight="1" x14ac:dyDescent="0.15">
      <c r="A30" s="230"/>
      <c r="B30" s="231"/>
      <c r="C30" s="39" t="s">
        <v>42</v>
      </c>
      <c r="D30" s="34" t="s">
        <v>51</v>
      </c>
      <c r="E30" s="232" t="s">
        <v>49</v>
      </c>
      <c r="F30" s="232"/>
      <c r="G30" s="232"/>
      <c r="H30" s="233"/>
    </row>
    <row r="31" spans="1:8" ht="18.75" customHeight="1" x14ac:dyDescent="0.15">
      <c r="A31" s="230"/>
      <c r="B31" s="231"/>
      <c r="C31" s="39" t="s">
        <v>45</v>
      </c>
      <c r="D31" s="40" t="s">
        <v>52</v>
      </c>
      <c r="E31" s="232" t="s">
        <v>53</v>
      </c>
      <c r="F31" s="232"/>
      <c r="G31" s="232"/>
      <c r="H31" s="233"/>
    </row>
    <row r="32" spans="1:8" ht="18.75" customHeight="1" x14ac:dyDescent="0.15">
      <c r="A32" s="33">
        <v>17</v>
      </c>
      <c r="B32" s="220" t="s">
        <v>54</v>
      </c>
      <c r="C32" s="220"/>
      <c r="D32" s="34" t="s">
        <v>72</v>
      </c>
      <c r="E32" s="232">
        <v>2.34</v>
      </c>
      <c r="F32" s="232"/>
      <c r="G32" s="232"/>
      <c r="H32" s="38" t="s">
        <v>55</v>
      </c>
    </row>
    <row r="33" spans="1:8" ht="18.75" customHeight="1" x14ac:dyDescent="0.15">
      <c r="A33" s="33">
        <v>18</v>
      </c>
      <c r="B33" s="220" t="s">
        <v>201</v>
      </c>
      <c r="C33" s="220"/>
      <c r="D33" s="34" t="s">
        <v>72</v>
      </c>
      <c r="E33" s="232">
        <v>1.796</v>
      </c>
      <c r="F33" s="232"/>
      <c r="G33" s="232"/>
      <c r="H33" s="38" t="s">
        <v>76</v>
      </c>
    </row>
    <row r="34" spans="1:8" ht="24" x14ac:dyDescent="0.15">
      <c r="A34" s="33">
        <v>19</v>
      </c>
      <c r="B34" s="220" t="s">
        <v>57</v>
      </c>
      <c r="C34" s="220"/>
      <c r="D34" s="34" t="s">
        <v>75</v>
      </c>
      <c r="E34" s="232">
        <v>4.6500000000000004</v>
      </c>
      <c r="F34" s="232"/>
      <c r="G34" s="232"/>
      <c r="H34" s="38" t="s">
        <v>58</v>
      </c>
    </row>
    <row r="35" spans="1:8" ht="18.75" customHeight="1" x14ac:dyDescent="0.15">
      <c r="A35" s="41">
        <v>20</v>
      </c>
      <c r="B35" s="246" t="s">
        <v>59</v>
      </c>
      <c r="C35" s="246"/>
      <c r="D35" s="42" t="s">
        <v>17</v>
      </c>
      <c r="E35" s="234">
        <v>0.79</v>
      </c>
      <c r="F35" s="234"/>
      <c r="G35" s="234"/>
      <c r="H35" s="43"/>
    </row>
    <row r="36" spans="1:8" ht="18.75" customHeight="1" x14ac:dyDescent="0.15">
      <c r="A36" s="235" t="s">
        <v>77</v>
      </c>
      <c r="B36" s="236"/>
      <c r="C36" s="236"/>
      <c r="D36" s="236"/>
      <c r="E36" s="236"/>
      <c r="F36" s="236"/>
      <c r="G36" s="236"/>
      <c r="H36" s="236"/>
    </row>
    <row r="37" spans="1:8" ht="18.75" customHeight="1" x14ac:dyDescent="0.15">
      <c r="A37" s="237">
        <v>21</v>
      </c>
      <c r="B37" s="238" t="s">
        <v>60</v>
      </c>
      <c r="C37" s="238"/>
      <c r="D37" s="239" t="s">
        <v>78</v>
      </c>
      <c r="E37" s="44" t="s">
        <v>8</v>
      </c>
      <c r="F37" s="45" t="s">
        <v>9</v>
      </c>
      <c r="G37" s="46" t="s">
        <v>10</v>
      </c>
      <c r="H37" s="240"/>
    </row>
    <row r="38" spans="1:8" ht="18.75" customHeight="1" x14ac:dyDescent="0.15">
      <c r="A38" s="230"/>
      <c r="B38" s="220"/>
      <c r="C38" s="220"/>
      <c r="D38" s="232"/>
      <c r="E38" s="35">
        <v>68.819999999999993</v>
      </c>
      <c r="F38" s="36">
        <v>59.7</v>
      </c>
      <c r="G38" s="37">
        <v>59.7</v>
      </c>
      <c r="H38" s="231"/>
    </row>
    <row r="39" spans="1:8" ht="18.75" customHeight="1" x14ac:dyDescent="0.15">
      <c r="A39" s="33">
        <v>22</v>
      </c>
      <c r="B39" s="220" t="s">
        <v>38</v>
      </c>
      <c r="C39" s="220"/>
      <c r="D39" s="34" t="s">
        <v>70</v>
      </c>
      <c r="E39" s="35">
        <v>9.125</v>
      </c>
      <c r="F39" s="36">
        <v>0</v>
      </c>
      <c r="G39" s="37">
        <v>0</v>
      </c>
      <c r="H39" s="38"/>
    </row>
    <row r="40" spans="1:8" ht="18.75" customHeight="1" x14ac:dyDescent="0.15">
      <c r="A40" s="33">
        <v>23</v>
      </c>
      <c r="B40" s="220" t="s">
        <v>39</v>
      </c>
      <c r="C40" s="220"/>
      <c r="D40" s="34" t="s">
        <v>70</v>
      </c>
      <c r="E40" s="35">
        <v>0</v>
      </c>
      <c r="F40" s="36">
        <v>0</v>
      </c>
      <c r="G40" s="37">
        <v>0</v>
      </c>
      <c r="H40" s="38"/>
    </row>
    <row r="41" spans="1:8" ht="24" x14ac:dyDescent="0.15">
      <c r="A41" s="33">
        <v>24</v>
      </c>
      <c r="B41" s="220" t="s">
        <v>62</v>
      </c>
      <c r="C41" s="220"/>
      <c r="D41" s="34" t="s">
        <v>72</v>
      </c>
      <c r="E41" s="232"/>
      <c r="F41" s="232"/>
      <c r="G41" s="232"/>
      <c r="H41" s="38" t="s">
        <v>63</v>
      </c>
    </row>
    <row r="42" spans="1:8" ht="18.75" customHeight="1" x14ac:dyDescent="0.15">
      <c r="A42" s="33">
        <v>25</v>
      </c>
      <c r="B42" s="220" t="s">
        <v>56</v>
      </c>
      <c r="C42" s="220"/>
      <c r="D42" s="34" t="s">
        <v>72</v>
      </c>
      <c r="E42" s="232"/>
      <c r="F42" s="232"/>
      <c r="G42" s="232"/>
      <c r="H42" s="38" t="s">
        <v>74</v>
      </c>
    </row>
    <row r="43" spans="1:8" ht="18.75" customHeight="1" x14ac:dyDescent="0.15">
      <c r="A43" s="33">
        <v>26</v>
      </c>
      <c r="B43" s="220" t="s">
        <v>64</v>
      </c>
      <c r="C43" s="220"/>
      <c r="D43" s="34" t="s">
        <v>72</v>
      </c>
      <c r="E43" s="232"/>
      <c r="F43" s="232"/>
      <c r="G43" s="232"/>
      <c r="H43" s="38" t="s">
        <v>74</v>
      </c>
    </row>
    <row r="44" spans="1:8" ht="18.75" customHeight="1" x14ac:dyDescent="0.15">
      <c r="A44" s="33">
        <v>27</v>
      </c>
      <c r="B44" s="220" t="s">
        <v>65</v>
      </c>
      <c r="C44" s="220"/>
      <c r="D44" s="34" t="s">
        <v>72</v>
      </c>
      <c r="E44" s="232"/>
      <c r="F44" s="232"/>
      <c r="G44" s="232"/>
      <c r="H44" s="38" t="s">
        <v>74</v>
      </c>
    </row>
    <row r="45" spans="1:8" ht="18.75" customHeight="1" x14ac:dyDescent="0.15">
      <c r="A45" s="41">
        <v>28</v>
      </c>
      <c r="B45" s="246" t="s">
        <v>59</v>
      </c>
      <c r="C45" s="246"/>
      <c r="D45" s="42" t="s">
        <v>17</v>
      </c>
      <c r="E45" s="234"/>
      <c r="F45" s="234"/>
      <c r="G45" s="234"/>
      <c r="H45" s="43" t="s">
        <v>74</v>
      </c>
    </row>
    <row r="68" spans="1:7" s="8" customFormat="1" x14ac:dyDescent="0.15">
      <c r="A68" s="5"/>
      <c r="B68" s="1"/>
      <c r="C68" s="28"/>
      <c r="D68" s="5"/>
      <c r="E68" s="22"/>
      <c r="F68" s="241"/>
      <c r="G68" s="241"/>
    </row>
  </sheetData>
  <mergeCells count="72">
    <mergeCell ref="F68:G68"/>
    <mergeCell ref="C3:H3"/>
    <mergeCell ref="A3:B3"/>
    <mergeCell ref="B43:C43"/>
    <mergeCell ref="E43:G43"/>
    <mergeCell ref="B44:C44"/>
    <mergeCell ref="E44:G44"/>
    <mergeCell ref="B45:C45"/>
    <mergeCell ref="E45:G45"/>
    <mergeCell ref="B39:C39"/>
    <mergeCell ref="B40:C40"/>
    <mergeCell ref="B41:C41"/>
    <mergeCell ref="E41:G41"/>
    <mergeCell ref="B42:C42"/>
    <mergeCell ref="E42:G42"/>
    <mergeCell ref="B35:C35"/>
    <mergeCell ref="E35:G35"/>
    <mergeCell ref="A36:H36"/>
    <mergeCell ref="A37:A38"/>
    <mergeCell ref="B37:C38"/>
    <mergeCell ref="D37:D38"/>
    <mergeCell ref="H37:H38"/>
    <mergeCell ref="B32:C32"/>
    <mergeCell ref="E32:G32"/>
    <mergeCell ref="B33:C33"/>
    <mergeCell ref="E33:G33"/>
    <mergeCell ref="B34:C34"/>
    <mergeCell ref="E34:G34"/>
    <mergeCell ref="A29:A31"/>
    <mergeCell ref="B29:B31"/>
    <mergeCell ref="E29:G29"/>
    <mergeCell ref="H29:H31"/>
    <mergeCell ref="E30:G30"/>
    <mergeCell ref="E31:G31"/>
    <mergeCell ref="A26:A28"/>
    <mergeCell ref="B26:B28"/>
    <mergeCell ref="E26:G26"/>
    <mergeCell ref="H26:H28"/>
    <mergeCell ref="E27:G27"/>
    <mergeCell ref="E28:G28"/>
    <mergeCell ref="B21:C21"/>
    <mergeCell ref="B22:C22"/>
    <mergeCell ref="A23:A25"/>
    <mergeCell ref="B23:B25"/>
    <mergeCell ref="E23:G23"/>
    <mergeCell ref="E24:G24"/>
    <mergeCell ref="E25:G25"/>
    <mergeCell ref="B20:C20"/>
    <mergeCell ref="A12:A13"/>
    <mergeCell ref="B12:C13"/>
    <mergeCell ref="D12:D13"/>
    <mergeCell ref="H12:H13"/>
    <mergeCell ref="B14:C14"/>
    <mergeCell ref="A15:H15"/>
    <mergeCell ref="A16:A17"/>
    <mergeCell ref="B16:B17"/>
    <mergeCell ref="C16:C17"/>
    <mergeCell ref="D16:D17"/>
    <mergeCell ref="H16:H17"/>
    <mergeCell ref="B9:C9"/>
    <mergeCell ref="E9:G9"/>
    <mergeCell ref="B10:C10"/>
    <mergeCell ref="E10:G10"/>
    <mergeCell ref="B11:C11"/>
    <mergeCell ref="E11:G11"/>
    <mergeCell ref="B8:C8"/>
    <mergeCell ref="E8:G8"/>
    <mergeCell ref="B5:C5"/>
    <mergeCell ref="E5:G5"/>
    <mergeCell ref="A6:H6"/>
    <mergeCell ref="B7:C7"/>
    <mergeCell ref="E7:G7"/>
  </mergeCells>
  <phoneticPr fontId="1"/>
  <printOptions horizontalCentered="1"/>
  <pageMargins left="0.59055118110236227" right="0.59055118110236227" top="0.74803149606299213" bottom="0.74803149606299213" header="0.31496062992125984" footer="0.31496062992125984"/>
  <pageSetup paperSize="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zoomScale="85" zoomScaleNormal="85" workbookViewId="0">
      <pane xSplit="6" ySplit="8" topLeftCell="G13" activePane="bottomRight" state="frozen"/>
      <selection pane="topRight" activeCell="G1" sqref="G1"/>
      <selection pane="bottomLeft" activeCell="A9" sqref="A9"/>
      <selection pane="bottomRight" activeCell="P26" sqref="P26:R26"/>
    </sheetView>
  </sheetViews>
  <sheetFormatPr defaultRowHeight="12" x14ac:dyDescent="0.15"/>
  <cols>
    <col min="1" max="1" width="6" style="49" bestFit="1" customWidth="1"/>
    <col min="2" max="2" width="15.875" style="52" customWidth="1"/>
    <col min="3" max="3" width="11.375" style="52" bestFit="1" customWidth="1"/>
    <col min="4" max="4" width="5.875" style="52" bestFit="1" customWidth="1"/>
    <col min="5" max="5" width="16.75" style="51" bestFit="1" customWidth="1"/>
    <col min="6" max="6" width="4.75" style="47" bestFit="1" customWidth="1"/>
    <col min="7" max="9" width="9" style="50"/>
    <col min="10" max="10" width="1.625" style="48" customWidth="1"/>
    <col min="11" max="13" width="9" style="52" customWidth="1"/>
    <col min="14" max="14" width="1.625" style="52" customWidth="1"/>
    <col min="15" max="15" width="11.75" style="52" bestFit="1" customWidth="1"/>
    <col min="16" max="18" width="9" style="52" customWidth="1"/>
    <col min="19" max="19" width="1.625" style="52" customWidth="1"/>
    <col min="20" max="20" width="11.375" style="52" bestFit="1" customWidth="1"/>
    <col min="21" max="23" width="9" style="52" customWidth="1"/>
    <col min="24" max="16384" width="9" style="48"/>
  </cols>
  <sheetData>
    <row r="1" spans="1:23" s="47" customFormat="1" ht="13.5" x14ac:dyDescent="0.15">
      <c r="A1" s="251" t="s">
        <v>0</v>
      </c>
      <c r="B1" s="214"/>
      <c r="C1" s="214"/>
      <c r="D1" s="214"/>
      <c r="E1" s="53" t="s">
        <v>2</v>
      </c>
      <c r="F1" s="54" t="s">
        <v>1</v>
      </c>
      <c r="G1" s="271" t="s">
        <v>3</v>
      </c>
      <c r="H1" s="272"/>
      <c r="I1" s="273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s="47" customFormat="1" x14ac:dyDescent="0.15">
      <c r="A2" s="252" t="s">
        <v>17</v>
      </c>
      <c r="B2" s="255" t="s">
        <v>102</v>
      </c>
      <c r="C2" s="256"/>
      <c r="D2" s="257"/>
      <c r="E2" s="96" t="s">
        <v>92</v>
      </c>
      <c r="F2" s="74" t="s">
        <v>17</v>
      </c>
      <c r="G2" s="97" t="str">
        <f>入力!E11</f>
        <v>南</v>
      </c>
      <c r="H2" s="274"/>
      <c r="I2" s="275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3" s="47" customFormat="1" x14ac:dyDescent="0.15">
      <c r="A3" s="253"/>
      <c r="B3" s="258"/>
      <c r="C3" s="258"/>
      <c r="D3" s="259"/>
      <c r="E3" s="98" t="s">
        <v>94</v>
      </c>
      <c r="F3" s="71" t="s">
        <v>17</v>
      </c>
      <c r="G3" s="99" t="str">
        <f>INDEX(リスト!B3:I3, 1, MATCH($G$2,リスト!$B$2:$I$2,0))</f>
        <v>西</v>
      </c>
      <c r="H3" s="276"/>
      <c r="I3" s="276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spans="1:23" s="47" customFormat="1" x14ac:dyDescent="0.15">
      <c r="A4" s="253"/>
      <c r="B4" s="258"/>
      <c r="C4" s="258"/>
      <c r="D4" s="259"/>
      <c r="E4" s="98" t="s">
        <v>96</v>
      </c>
      <c r="F4" s="71" t="s">
        <v>17</v>
      </c>
      <c r="G4" s="99" t="str">
        <f>INDEX(リスト!B4:I4, 1, MATCH($G$2,リスト!$B$2:$I$2,0))</f>
        <v>北</v>
      </c>
      <c r="H4" s="276"/>
      <c r="I4" s="276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spans="1:23" s="47" customFormat="1" x14ac:dyDescent="0.15">
      <c r="A5" s="254"/>
      <c r="B5" s="260"/>
      <c r="C5" s="260"/>
      <c r="D5" s="261"/>
      <c r="E5" s="100" t="s">
        <v>98</v>
      </c>
      <c r="F5" s="73" t="s">
        <v>17</v>
      </c>
      <c r="G5" s="101" t="str">
        <f>INDEX(リスト!B5:I5, 1, MATCH($G$2,リスト!$B$2:$I$2,0))</f>
        <v>東</v>
      </c>
      <c r="H5" s="277"/>
      <c r="I5" s="277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1:23" s="47" customFormat="1" ht="13.5" x14ac:dyDescent="0.15">
      <c r="A6" s="269" t="s">
        <v>156</v>
      </c>
      <c r="B6" s="270"/>
      <c r="C6" s="270"/>
      <c r="D6" s="270"/>
      <c r="E6" s="270"/>
      <c r="F6" s="270"/>
      <c r="G6" s="270"/>
      <c r="H6" s="270"/>
      <c r="I6" s="27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1:23" ht="13.5" x14ac:dyDescent="0.15">
      <c r="A7" s="57" t="s">
        <v>80</v>
      </c>
      <c r="B7" s="262" t="s">
        <v>6</v>
      </c>
      <c r="C7" s="250"/>
      <c r="D7" s="250"/>
      <c r="E7" s="55" t="s">
        <v>79</v>
      </c>
      <c r="F7" s="56" t="s">
        <v>22</v>
      </c>
      <c r="G7" s="58">
        <f>入力!E10/入力!E9</f>
        <v>3.0333333333333332</v>
      </c>
      <c r="H7" s="278"/>
      <c r="I7" s="279"/>
    </row>
    <row r="8" spans="1:23" ht="13.5" x14ac:dyDescent="0.15">
      <c r="A8" s="280"/>
      <c r="B8" s="281"/>
      <c r="C8" s="281"/>
      <c r="D8" s="282"/>
      <c r="E8" s="142" t="s">
        <v>255</v>
      </c>
      <c r="F8" s="102" t="s">
        <v>5</v>
      </c>
      <c r="G8" s="102">
        <v>1</v>
      </c>
      <c r="H8" s="102">
        <v>2</v>
      </c>
      <c r="I8" s="102">
        <v>3</v>
      </c>
    </row>
    <row r="9" spans="1:23" ht="14.25" x14ac:dyDescent="0.15">
      <c r="A9" s="60" t="s">
        <v>81</v>
      </c>
      <c r="B9" s="262" t="s">
        <v>107</v>
      </c>
      <c r="C9" s="250"/>
      <c r="D9" s="250"/>
      <c r="E9" s="55" t="s">
        <v>82</v>
      </c>
      <c r="F9" s="56" t="s">
        <v>61</v>
      </c>
      <c r="G9" s="58">
        <f>入力!E13-入力!E38</f>
        <v>162.63999999999999</v>
      </c>
      <c r="H9" s="58">
        <f>入力!F13-入力!F38</f>
        <v>162.63999999999999</v>
      </c>
      <c r="I9" s="58">
        <f>入力!G13-入力!G38</f>
        <v>162.63999999999999</v>
      </c>
    </row>
    <row r="10" spans="1:23" x14ac:dyDescent="0.15">
      <c r="A10" s="263" t="s">
        <v>83</v>
      </c>
      <c r="B10" s="265" t="s">
        <v>108</v>
      </c>
      <c r="C10" s="266"/>
      <c r="D10" s="266"/>
      <c r="E10" s="63" t="s">
        <v>84</v>
      </c>
      <c r="F10" s="64" t="s">
        <v>22</v>
      </c>
      <c r="G10" s="65">
        <f>((入力!E17/2)+SQRT((入力!E17/2)^2-(4*G9)))/2</f>
        <v>27.328760451988813</v>
      </c>
      <c r="H10" s="65">
        <f>((入力!F17/2)+SQRT((入力!F17/2)^2-(4*H9)))/2</f>
        <v>27.328760451988813</v>
      </c>
      <c r="I10" s="65">
        <f>((入力!G17/2)+SQRT((入力!G17/2)^2-(4*I9)))/2</f>
        <v>27.328760451988813</v>
      </c>
    </row>
    <row r="11" spans="1:23" x14ac:dyDescent="0.15">
      <c r="A11" s="264"/>
      <c r="B11" s="267" t="s">
        <v>109</v>
      </c>
      <c r="C11" s="268"/>
      <c r="D11" s="268"/>
      <c r="E11" s="66" t="s">
        <v>85</v>
      </c>
      <c r="F11" s="67" t="s">
        <v>86</v>
      </c>
      <c r="G11" s="68">
        <f>((入力!E17/2)-SQRT((入力!E17/2)^2-(4*G9)))/2</f>
        <v>5.9512395480111895</v>
      </c>
      <c r="H11" s="68">
        <f>((入力!F17/2)-SQRT((入力!F17/2)^2-(4*H9)))/2</f>
        <v>5.9512395480111895</v>
      </c>
      <c r="I11" s="68">
        <f>((入力!G17/2)-SQRT((入力!G17/2)^2-(4*I9)))/2</f>
        <v>5.9512395480111895</v>
      </c>
    </row>
    <row r="12" spans="1:23" ht="13.5" customHeight="1" x14ac:dyDescent="0.15">
      <c r="A12" s="59" t="s">
        <v>88</v>
      </c>
      <c r="B12" s="249" t="s">
        <v>110</v>
      </c>
      <c r="C12" s="250"/>
      <c r="D12" s="250"/>
      <c r="E12" s="61" t="s">
        <v>87</v>
      </c>
      <c r="F12" s="56" t="s">
        <v>61</v>
      </c>
      <c r="G12" s="62">
        <f>IF(G8&lt;入力!$E$9, 入力!E21, IF(G8=入力!$E$9, G9, IF(G8&gt;入力!$E$9, "建物の階数を確認してください", )))</f>
        <v>0</v>
      </c>
      <c r="H12" s="62">
        <f>IF(H8&lt;入力!$E$9, 入力!F21, IF(H8=入力!$E$9, H9, IF(H8&gt;入力!$E$9, "建物の階数を確認してください", )))</f>
        <v>0</v>
      </c>
      <c r="I12" s="62">
        <f>IF(I8&lt;入力!$E$9, 入力!G21, IF(I8=入力!$E$9, I9, IF(I8&gt;入力!$E$9, "建物の階数を確認してください", )))</f>
        <v>162.63999999999999</v>
      </c>
    </row>
    <row r="13" spans="1:23" ht="14.25" x14ac:dyDescent="0.15">
      <c r="A13" s="59" t="s">
        <v>89</v>
      </c>
      <c r="B13" s="249" t="s">
        <v>111</v>
      </c>
      <c r="C13" s="250"/>
      <c r="D13" s="250"/>
      <c r="E13" s="61" t="s">
        <v>90</v>
      </c>
      <c r="F13" s="56" t="s">
        <v>61</v>
      </c>
      <c r="G13" s="62">
        <f>IF(G8=1, 0, 入力!E22)</f>
        <v>0</v>
      </c>
      <c r="H13" s="62">
        <f>IF(H8=1, 0, 入力!F22)</f>
        <v>0</v>
      </c>
      <c r="I13" s="62">
        <f>IF(I8=1, 0, 入力!G22)</f>
        <v>0</v>
      </c>
    </row>
    <row r="14" spans="1:23" ht="14.25" x14ac:dyDescent="0.15">
      <c r="A14" s="81" t="s">
        <v>112</v>
      </c>
      <c r="B14" s="265" t="s">
        <v>120</v>
      </c>
      <c r="C14" s="265" t="str">
        <f>"("&amp;G2&amp;")"</f>
        <v>(南)</v>
      </c>
      <c r="D14" s="265"/>
      <c r="E14" s="63" t="s">
        <v>103</v>
      </c>
      <c r="F14" s="69" t="s">
        <v>61</v>
      </c>
      <c r="G14" s="65">
        <f>入力!E20*(1-0.24/入力!E14)*0.64</f>
        <v>18.336767999999999</v>
      </c>
      <c r="H14" s="65">
        <f>入力!F20*(1-0.24/入力!F14)*0.64</f>
        <v>18.433024</v>
      </c>
      <c r="I14" s="65">
        <f>入力!G20*(1-0.24/入力!G14)*0.64</f>
        <v>18.433024</v>
      </c>
    </row>
    <row r="15" spans="1:23" ht="14.25" x14ac:dyDescent="0.15">
      <c r="A15" s="82" t="s">
        <v>113</v>
      </c>
      <c r="B15" s="283"/>
      <c r="C15" s="288" t="str">
        <f>"("&amp;G3&amp;")"</f>
        <v>(西)</v>
      </c>
      <c r="D15" s="288"/>
      <c r="E15" s="70" t="s">
        <v>104</v>
      </c>
      <c r="F15" s="71" t="s">
        <v>61</v>
      </c>
      <c r="G15" s="72">
        <f>入力!E20*0.12/入力!E14</f>
        <v>0.91439999999999999</v>
      </c>
      <c r="H15" s="72">
        <f>入力!F20*0.12/入力!F14</f>
        <v>0.91920000000000002</v>
      </c>
      <c r="I15" s="72">
        <f>入力!G20*0.12/入力!G14</f>
        <v>0.91920000000000002</v>
      </c>
    </row>
    <row r="16" spans="1:23" ht="14.25" x14ac:dyDescent="0.15">
      <c r="A16" s="82" t="s">
        <v>114</v>
      </c>
      <c r="B16" s="283"/>
      <c r="C16" s="288" t="str">
        <f>"("&amp;G4&amp;")"</f>
        <v>(北)</v>
      </c>
      <c r="D16" s="288"/>
      <c r="E16" s="70" t="s">
        <v>105</v>
      </c>
      <c r="F16" s="71" t="s">
        <v>61</v>
      </c>
      <c r="G16" s="72">
        <f>入力!E20*(1-0.24/入力!E14)*0.36</f>
        <v>10.314432</v>
      </c>
      <c r="H16" s="72">
        <f>入力!F20*(1-0.24/入力!F14)*0.36</f>
        <v>10.368575999999999</v>
      </c>
      <c r="I16" s="72">
        <f>入力!G20*(1-0.24/入力!G14)*0.36</f>
        <v>10.368575999999999</v>
      </c>
    </row>
    <row r="17" spans="1:19" ht="14.25" x14ac:dyDescent="0.15">
      <c r="A17" s="83" t="s">
        <v>115</v>
      </c>
      <c r="B17" s="268"/>
      <c r="C17" s="267" t="str">
        <f>"("&amp;G5&amp;")"</f>
        <v>(東)</v>
      </c>
      <c r="D17" s="267"/>
      <c r="E17" s="66" t="s">
        <v>106</v>
      </c>
      <c r="F17" s="73" t="s">
        <v>61</v>
      </c>
      <c r="G17" s="68">
        <f>入力!E20*0.12/入力!E14</f>
        <v>0.91439999999999999</v>
      </c>
      <c r="H17" s="68">
        <f>入力!F20*0.12/入力!F14</f>
        <v>0.91920000000000002</v>
      </c>
      <c r="I17" s="68">
        <f>入力!G20*0.12/入力!G14</f>
        <v>0.91920000000000002</v>
      </c>
      <c r="K17" s="52" t="s">
        <v>193</v>
      </c>
      <c r="M17" s="52" t="s">
        <v>192</v>
      </c>
      <c r="O17" s="247" t="s">
        <v>205</v>
      </c>
      <c r="P17" s="248"/>
      <c r="Q17" s="248"/>
      <c r="R17" s="52" t="s">
        <v>192</v>
      </c>
    </row>
    <row r="18" spans="1:19" s="47" customFormat="1" ht="13.5" x14ac:dyDescent="0.15">
      <c r="A18" s="269" t="s">
        <v>157</v>
      </c>
      <c r="B18" s="270"/>
      <c r="C18" s="270"/>
      <c r="D18" s="270"/>
      <c r="E18" s="270"/>
      <c r="F18" s="270"/>
      <c r="G18" s="270"/>
      <c r="H18" s="270"/>
      <c r="I18" s="270"/>
      <c r="K18" s="88" t="s">
        <v>8</v>
      </c>
      <c r="L18" s="88" t="s">
        <v>9</v>
      </c>
      <c r="M18" s="88" t="s">
        <v>10</v>
      </c>
      <c r="N18" s="51"/>
      <c r="O18" s="89"/>
      <c r="P18" s="88" t="s">
        <v>8</v>
      </c>
      <c r="Q18" s="88" t="s">
        <v>9</v>
      </c>
      <c r="R18" s="88" t="s">
        <v>10</v>
      </c>
      <c r="S18" s="51"/>
    </row>
    <row r="19" spans="1:19" ht="14.25" x14ac:dyDescent="0.15">
      <c r="A19" s="59" t="s">
        <v>116</v>
      </c>
      <c r="B19" s="249" t="s">
        <v>117</v>
      </c>
      <c r="C19" s="250"/>
      <c r="D19" s="250"/>
      <c r="E19" s="61" t="s">
        <v>118</v>
      </c>
      <c r="F19" s="56" t="s">
        <v>61</v>
      </c>
      <c r="G19" s="62">
        <f>G12/入力!E14</f>
        <v>0</v>
      </c>
      <c r="H19" s="62">
        <f>H12/入力!F14</f>
        <v>0</v>
      </c>
      <c r="I19" s="62">
        <f>I12/入力!G14</f>
        <v>40.659999999999997</v>
      </c>
      <c r="K19" s="90">
        <f>G19*入力!$E$26</f>
        <v>0</v>
      </c>
      <c r="L19" s="90">
        <f>H19*入力!$E$26</f>
        <v>0</v>
      </c>
      <c r="M19" s="90">
        <f>I19*入力!$E$26</f>
        <v>16.955219999999997</v>
      </c>
      <c r="O19" s="91" t="str">
        <f>O25</f>
        <v>西側の妻住戸</v>
      </c>
      <c r="P19" s="90">
        <f>SUM(K19,K20:K23,K32:K35,K44,K45,K48:K50, K52:K55,K64,K67,K70:K73,K82,K85:K88,K97,K100,K103,K106:K109,K118,K122)</f>
        <v>142.21379023252791</v>
      </c>
      <c r="Q19" s="90">
        <f t="shared" ref="Q19:R19" si="0">SUM(L19,L20:L23,L32:L35,L44,L45,L48:L50, L52:L55,L64,L67,L70:L73,L82,L85:L88,L97,L100,L103,L106:L109,L118,L122)</f>
        <v>136.42669288507415</v>
      </c>
      <c r="R19" s="90">
        <f t="shared" si="0"/>
        <v>142.96849937942426</v>
      </c>
    </row>
    <row r="20" spans="1:19" ht="14.25" x14ac:dyDescent="0.15">
      <c r="A20" s="263" t="s">
        <v>126</v>
      </c>
      <c r="B20" s="265" t="s">
        <v>119</v>
      </c>
      <c r="C20" s="265" t="str">
        <f>G3&amp;"側の妻住戸"</f>
        <v>西側の妻住戸</v>
      </c>
      <c r="D20" s="75" t="str">
        <f>"("&amp;G2&amp;")"</f>
        <v>(南)</v>
      </c>
      <c r="E20" s="63" t="s">
        <v>121</v>
      </c>
      <c r="F20" s="69" t="s">
        <v>61</v>
      </c>
      <c r="G20" s="65">
        <f>G14/入力!E14</f>
        <v>4.5841919999999998</v>
      </c>
      <c r="H20" s="65">
        <f>H14/入力!F14</f>
        <v>4.6082559999999999</v>
      </c>
      <c r="I20" s="65">
        <f>I14/入力!G14</f>
        <v>4.6082559999999999</v>
      </c>
      <c r="K20" s="92">
        <f>G20*入力!$E$34</f>
        <v>21.316492800000002</v>
      </c>
      <c r="L20" s="92">
        <f>H20*入力!$E$34</f>
        <v>21.428390400000001</v>
      </c>
      <c r="M20" s="92">
        <f>I20*入力!$E$34</f>
        <v>21.428390400000001</v>
      </c>
      <c r="O20" s="91" t="str">
        <f>O26</f>
        <v>東側の妻住戸</v>
      </c>
      <c r="P20" s="90">
        <f>SUM(K19,K24:K27,K36:K39,K44,K46,K48:K50, K56:K59,K65,K68,K74:K77,K83,K89:K92, K98, K101,K104,K110:K113,K119,K123)</f>
        <v>142.21379023252791</v>
      </c>
      <c r="Q20" s="90">
        <f>SUM(L19,L24:L27,L36:L39,L44,L46,L48:L50, L56:L59,L65,L68,L74:L77,L83,L89:L92, L98, L101,L104,L110:L113,L119,L123)</f>
        <v>136.42669288507415</v>
      </c>
      <c r="R20" s="90">
        <f>SUM(M19,M24:M27,M36:M39,M44,M46,M48:M50, M56:M59,M65,M68,M74:M77,M83,M89:M92, M98, M101,M104,M110:M113,M119,M123)</f>
        <v>142.96849937942426</v>
      </c>
    </row>
    <row r="21" spans="1:19" ht="14.25" x14ac:dyDescent="0.15">
      <c r="A21" s="284"/>
      <c r="B21" s="283"/>
      <c r="C21" s="283"/>
      <c r="D21" s="76" t="str">
        <f>"("&amp;G3&amp;")"</f>
        <v>(西)</v>
      </c>
      <c r="E21" s="70" t="s">
        <v>122</v>
      </c>
      <c r="F21" s="71" t="s">
        <v>61</v>
      </c>
      <c r="G21" s="72">
        <f>G15</f>
        <v>0.91439999999999999</v>
      </c>
      <c r="H21" s="72">
        <f t="shared" ref="H21:I21" si="1">H15</f>
        <v>0.91920000000000002</v>
      </c>
      <c r="I21" s="72">
        <f t="shared" si="1"/>
        <v>0.91920000000000002</v>
      </c>
      <c r="K21" s="93">
        <f>G21*入力!$E$34</f>
        <v>4.2519600000000004</v>
      </c>
      <c r="L21" s="93">
        <f>H21*入力!$E$34</f>
        <v>4.2742800000000001</v>
      </c>
      <c r="M21" s="93">
        <f>I21*入力!$E$34</f>
        <v>4.2742800000000001</v>
      </c>
      <c r="O21" s="91" t="str">
        <f>O27</f>
        <v>中住戸</v>
      </c>
      <c r="P21" s="90">
        <f>SUM(K19,K28:K31,K40:K43,K44,K47,K48:K50, K60:K63,K66,K69,K78:K81,K84,K93:K96, K99,K102,K105,K114:K117,K120,K124)</f>
        <v>130.73375856708552</v>
      </c>
      <c r="Q21" s="90">
        <f t="shared" ref="Q21:R21" si="2">SUM(L19,L28:L31,L40:L43,L44,L47,L48:L50, L60:L63,L66,L69,L78:L81,L84,L93:L96, L99,L102,L105,L114:L117,L120,L124)</f>
        <v>123.14273735522842</v>
      </c>
      <c r="R21" s="90">
        <f t="shared" si="2"/>
        <v>129.53576286087826</v>
      </c>
    </row>
    <row r="22" spans="1:19" ht="14.25" x14ac:dyDescent="0.15">
      <c r="A22" s="284"/>
      <c r="B22" s="283"/>
      <c r="C22" s="283"/>
      <c r="D22" s="76" t="str">
        <f>"("&amp;G4&amp;")"</f>
        <v>(北)</v>
      </c>
      <c r="E22" s="70" t="s">
        <v>123</v>
      </c>
      <c r="F22" s="71" t="s">
        <v>61</v>
      </c>
      <c r="G22" s="72">
        <f>G16/入力!E14</f>
        <v>2.578608</v>
      </c>
      <c r="H22" s="72">
        <f>H16/入力!F14</f>
        <v>2.5921439999999998</v>
      </c>
      <c r="I22" s="72">
        <f>I16/入力!G14</f>
        <v>2.5921439999999998</v>
      </c>
      <c r="K22" s="93">
        <f>G22*入力!$E$34</f>
        <v>11.990527200000001</v>
      </c>
      <c r="L22" s="93">
        <f>H22*入力!$E$34</f>
        <v>12.0534696</v>
      </c>
      <c r="M22" s="93">
        <f>I22*入力!$E$34</f>
        <v>12.0534696</v>
      </c>
    </row>
    <row r="23" spans="1:19" ht="14.25" x14ac:dyDescent="0.15">
      <c r="A23" s="285"/>
      <c r="B23" s="283"/>
      <c r="C23" s="286"/>
      <c r="D23" s="114" t="str">
        <f>"("&amp;G5&amp;")"</f>
        <v>(東)</v>
      </c>
      <c r="E23" s="115" t="s">
        <v>124</v>
      </c>
      <c r="F23" s="116" t="s">
        <v>61</v>
      </c>
      <c r="G23" s="117">
        <f>IF(入力!E14=1, G17, 0)</f>
        <v>0</v>
      </c>
      <c r="H23" s="117">
        <f>IF(入力!F14=1, H17, 0)</f>
        <v>0</v>
      </c>
      <c r="I23" s="117">
        <f>IF(入力!G14=1, I17, 0)</f>
        <v>0</v>
      </c>
      <c r="K23" s="118">
        <f>G23*入力!$E$34</f>
        <v>0</v>
      </c>
      <c r="L23" s="118">
        <f>H23*入力!$E$34</f>
        <v>0</v>
      </c>
      <c r="M23" s="118">
        <f>I23*入力!$E$34</f>
        <v>0</v>
      </c>
      <c r="O23" s="247" t="s">
        <v>202</v>
      </c>
      <c r="P23" s="248"/>
      <c r="Q23" s="248"/>
      <c r="R23" s="52" t="s">
        <v>204</v>
      </c>
    </row>
    <row r="24" spans="1:19" ht="14.25" x14ac:dyDescent="0.15">
      <c r="A24" s="263" t="s">
        <v>127</v>
      </c>
      <c r="B24" s="283"/>
      <c r="C24" s="265" t="str">
        <f>G5&amp;"側の妻住戸"</f>
        <v>東側の妻住戸</v>
      </c>
      <c r="D24" s="107" t="str">
        <f>D20</f>
        <v>(南)</v>
      </c>
      <c r="E24" s="108" t="s">
        <v>121</v>
      </c>
      <c r="F24" s="109" t="s">
        <v>61</v>
      </c>
      <c r="G24" s="65">
        <f>IF(入力!E14=1, "-", G14/入力!E14)</f>
        <v>4.5841919999999998</v>
      </c>
      <c r="H24" s="65">
        <f>IF(入力!F14=1, "-", H14/入力!F14)</f>
        <v>4.6082559999999999</v>
      </c>
      <c r="I24" s="65">
        <f>IF(入力!G14=1, "-", I14/入力!G14)</f>
        <v>4.6082559999999999</v>
      </c>
      <c r="J24" s="124"/>
      <c r="K24" s="92">
        <f>G24*入力!$E$34</f>
        <v>21.316492800000002</v>
      </c>
      <c r="L24" s="92">
        <f>H24*入力!$E$34</f>
        <v>21.428390400000001</v>
      </c>
      <c r="M24" s="92">
        <f>I24*入力!$E$34</f>
        <v>21.428390400000001</v>
      </c>
      <c r="O24" s="89"/>
      <c r="P24" s="88" t="s">
        <v>8</v>
      </c>
      <c r="Q24" s="88" t="s">
        <v>9</v>
      </c>
      <c r="R24" s="88" t="s">
        <v>10</v>
      </c>
    </row>
    <row r="25" spans="1:19" ht="14.25" x14ac:dyDescent="0.15">
      <c r="A25" s="284"/>
      <c r="B25" s="283"/>
      <c r="C25" s="283"/>
      <c r="D25" s="110" t="str">
        <f t="shared" ref="D25:D43" si="3">D21</f>
        <v>(西)</v>
      </c>
      <c r="E25" s="70" t="s">
        <v>122</v>
      </c>
      <c r="F25" s="71" t="s">
        <v>61</v>
      </c>
      <c r="G25" s="72">
        <f>IF(入力!E14=1, "-", 0)</f>
        <v>0</v>
      </c>
      <c r="H25" s="72">
        <f>IF(入力!F14=1, "-", 0)</f>
        <v>0</v>
      </c>
      <c r="I25" s="72">
        <f>IF(入力!G14=1, "-", 0)</f>
        <v>0</v>
      </c>
      <c r="J25" s="125"/>
      <c r="K25" s="93">
        <f>G25*入力!$E$34</f>
        <v>0</v>
      </c>
      <c r="L25" s="93">
        <f>H25*入力!$E$34</f>
        <v>0</v>
      </c>
      <c r="M25" s="93">
        <f>I25*入力!$E$34</f>
        <v>0</v>
      </c>
      <c r="O25" s="91" t="str">
        <f>C20</f>
        <v>西側の妻住戸</v>
      </c>
      <c r="P25" s="90">
        <f>SUM(G19,G20:G23,G32:G35,G44,G45,G48:G50,G122)</f>
        <v>158.87280661011758</v>
      </c>
      <c r="Q25" s="90">
        <f t="shared" ref="Q25:R25" si="4">SUM(H19,H20:H23,H32:H35,H44,H45,H48:H50,H122)</f>
        <v>158.87280661011758</v>
      </c>
      <c r="R25" s="90">
        <f t="shared" si="4"/>
        <v>158.87280661011758</v>
      </c>
    </row>
    <row r="26" spans="1:19" ht="14.25" x14ac:dyDescent="0.15">
      <c r="A26" s="284"/>
      <c r="B26" s="283"/>
      <c r="C26" s="283"/>
      <c r="D26" s="110" t="str">
        <f t="shared" si="3"/>
        <v>(北)</v>
      </c>
      <c r="E26" s="70" t="s">
        <v>123</v>
      </c>
      <c r="F26" s="71" t="s">
        <v>61</v>
      </c>
      <c r="G26" s="72">
        <f>IF(入力!E14=1, "-", G16/入力!E14)</f>
        <v>2.578608</v>
      </c>
      <c r="H26" s="72">
        <f>IF(入力!F14=1, "-", H16/入力!F14)</f>
        <v>2.5921439999999998</v>
      </c>
      <c r="I26" s="72">
        <f>IF(入力!G14=1, "-", I16/入力!G14)</f>
        <v>2.5921439999999998</v>
      </c>
      <c r="J26" s="125"/>
      <c r="K26" s="93">
        <f>G26*入力!$E$34</f>
        <v>11.990527200000001</v>
      </c>
      <c r="L26" s="93">
        <f>H26*入力!$E$34</f>
        <v>12.0534696</v>
      </c>
      <c r="M26" s="93">
        <f>I26*入力!$E$34</f>
        <v>12.0534696</v>
      </c>
      <c r="O26" s="91" t="str">
        <f>C24</f>
        <v>東側の妻住戸</v>
      </c>
      <c r="P26" s="90">
        <f>SUM(G19,G24:G27,G36:G39,G46,G48:G50,G123,G44)</f>
        <v>158.87280661011758</v>
      </c>
      <c r="Q26" s="90">
        <f t="shared" ref="Q26:R26" si="5">SUM(H19,H24:H27,H36:H39,H46,H48:H50,H123,H44)</f>
        <v>158.87280661011758</v>
      </c>
      <c r="R26" s="90">
        <f t="shared" si="5"/>
        <v>158.87280661011758</v>
      </c>
    </row>
    <row r="27" spans="1:19" ht="14.25" x14ac:dyDescent="0.15">
      <c r="A27" s="287"/>
      <c r="B27" s="283"/>
      <c r="C27" s="268"/>
      <c r="D27" s="113" t="str">
        <f t="shared" si="3"/>
        <v>(東)</v>
      </c>
      <c r="E27" s="66" t="s">
        <v>124</v>
      </c>
      <c r="F27" s="73" t="s">
        <v>61</v>
      </c>
      <c r="G27" s="68">
        <f>IF(入力!E14=1, "-", G17)</f>
        <v>0.91439999999999999</v>
      </c>
      <c r="H27" s="68">
        <f>IF(入力!F14=1, "-", H17)</f>
        <v>0.91920000000000002</v>
      </c>
      <c r="I27" s="68">
        <f>IF(入力!G14=1, "-", I17)</f>
        <v>0.91920000000000002</v>
      </c>
      <c r="J27" s="126"/>
      <c r="K27" s="94">
        <f>G27*入力!$E$34</f>
        <v>4.2519600000000004</v>
      </c>
      <c r="L27" s="94">
        <f>H27*入力!$E$34</f>
        <v>4.2742800000000001</v>
      </c>
      <c r="M27" s="94">
        <f>I27*入力!$E$34</f>
        <v>4.2742800000000001</v>
      </c>
      <c r="O27" s="91" t="str">
        <f>C28</f>
        <v>中住戸</v>
      </c>
      <c r="P27" s="90">
        <f>SUM(G19,G28:G31,G40:G43,G44,G47:G50,G124)</f>
        <v>158.87280661011758</v>
      </c>
      <c r="Q27" s="90">
        <f t="shared" ref="Q27:R27" si="6">SUM(H19,H28:H31,H40:H43,H44,H47:H50,H124)</f>
        <v>158.87280661011758</v>
      </c>
      <c r="R27" s="90">
        <f t="shared" si="6"/>
        <v>158.87280661011755</v>
      </c>
    </row>
    <row r="28" spans="1:19" ht="14.25" x14ac:dyDescent="0.15">
      <c r="A28" s="294" t="s">
        <v>128</v>
      </c>
      <c r="B28" s="283"/>
      <c r="C28" s="295" t="s">
        <v>125</v>
      </c>
      <c r="D28" s="119" t="str">
        <f t="shared" si="3"/>
        <v>(南)</v>
      </c>
      <c r="E28" s="120" t="s">
        <v>121</v>
      </c>
      <c r="F28" s="121" t="s">
        <v>61</v>
      </c>
      <c r="G28" s="122">
        <f>IF(入力!E14&lt;=2, "-", G14/入力!E14)</f>
        <v>4.5841919999999998</v>
      </c>
      <c r="H28" s="122">
        <f>IF(入力!F14&lt;=2, "-", H14/入力!F14)</f>
        <v>4.6082559999999999</v>
      </c>
      <c r="I28" s="122">
        <f>IF(入力!G14&lt;=2, "-", I14/入力!G14)</f>
        <v>4.6082559999999999</v>
      </c>
      <c r="K28" s="123">
        <f>G28*入力!$E$34</f>
        <v>21.316492800000002</v>
      </c>
      <c r="L28" s="123">
        <f>H28*入力!$E$34</f>
        <v>21.428390400000001</v>
      </c>
      <c r="M28" s="123">
        <f>I28*入力!$E$34</f>
        <v>21.428390400000001</v>
      </c>
    </row>
    <row r="29" spans="1:19" ht="14.25" x14ac:dyDescent="0.15">
      <c r="A29" s="284"/>
      <c r="B29" s="283"/>
      <c r="C29" s="283"/>
      <c r="D29" s="76" t="str">
        <f t="shared" si="3"/>
        <v>(西)</v>
      </c>
      <c r="E29" s="70" t="s">
        <v>122</v>
      </c>
      <c r="F29" s="71" t="s">
        <v>61</v>
      </c>
      <c r="G29" s="72">
        <f>IF(入力!E14&lt;=2, "-", 0)</f>
        <v>0</v>
      </c>
      <c r="H29" s="72">
        <f>IF(入力!F14&lt;=2, "-", 0)</f>
        <v>0</v>
      </c>
      <c r="I29" s="72">
        <f>IF(入力!G14&lt;=2, "-", 0)</f>
        <v>0</v>
      </c>
      <c r="K29" s="93">
        <f>G29*入力!$E$34</f>
        <v>0</v>
      </c>
      <c r="L29" s="93">
        <f>H29*入力!$E$34</f>
        <v>0</v>
      </c>
      <c r="M29" s="93">
        <f>I29*入力!$E$34</f>
        <v>0</v>
      </c>
      <c r="O29" s="247" t="s">
        <v>206</v>
      </c>
      <c r="P29" s="248"/>
      <c r="Q29" s="248"/>
      <c r="R29" s="52" t="s">
        <v>207</v>
      </c>
    </row>
    <row r="30" spans="1:19" ht="14.25" x14ac:dyDescent="0.15">
      <c r="A30" s="284"/>
      <c r="B30" s="283"/>
      <c r="C30" s="283"/>
      <c r="D30" s="76" t="str">
        <f t="shared" si="3"/>
        <v>(北)</v>
      </c>
      <c r="E30" s="70" t="s">
        <v>123</v>
      </c>
      <c r="F30" s="71" t="s">
        <v>61</v>
      </c>
      <c r="G30" s="85">
        <f>IF(入力!E14&lt;=2, "-", G16/入力!E14)</f>
        <v>2.578608</v>
      </c>
      <c r="H30" s="85">
        <f>IF(入力!F14&lt;=2, "-", H16/入力!F14)</f>
        <v>2.5921439999999998</v>
      </c>
      <c r="I30" s="85">
        <f>IF(入力!G14&lt;=2, "-", I16/入力!G14)</f>
        <v>2.5921439999999998</v>
      </c>
      <c r="K30" s="93">
        <f>G30*入力!$E$34</f>
        <v>11.990527200000001</v>
      </c>
      <c r="L30" s="93">
        <f>H30*入力!$E$34</f>
        <v>12.0534696</v>
      </c>
      <c r="M30" s="93">
        <f>I30*入力!$E$34</f>
        <v>12.0534696</v>
      </c>
      <c r="O30" s="89"/>
      <c r="P30" s="88" t="s">
        <v>8</v>
      </c>
      <c r="Q30" s="88" t="s">
        <v>9</v>
      </c>
      <c r="R30" s="88" t="s">
        <v>10</v>
      </c>
    </row>
    <row r="31" spans="1:19" ht="14.25" x14ac:dyDescent="0.15">
      <c r="A31" s="287"/>
      <c r="B31" s="268"/>
      <c r="C31" s="268"/>
      <c r="D31" s="78" t="str">
        <f t="shared" si="3"/>
        <v>(東)</v>
      </c>
      <c r="E31" s="66" t="s">
        <v>124</v>
      </c>
      <c r="F31" s="73" t="s">
        <v>61</v>
      </c>
      <c r="G31" s="86">
        <f>IF(入力!E14&lt;=2, "-",0)</f>
        <v>0</v>
      </c>
      <c r="H31" s="86">
        <f>IF(入力!F14&lt;=2, "-",0)</f>
        <v>0</v>
      </c>
      <c r="I31" s="86">
        <f>IF(入力!G14&lt;=2, "-",0)</f>
        <v>0</v>
      </c>
      <c r="K31" s="94">
        <f>G31*入力!$E$34</f>
        <v>0</v>
      </c>
      <c r="L31" s="94">
        <f>H31*入力!$E$34</f>
        <v>0</v>
      </c>
      <c r="M31" s="94">
        <f>I31*入力!$E$34</f>
        <v>0</v>
      </c>
      <c r="O31" s="91" t="str">
        <f>O25</f>
        <v>西側の妻住戸</v>
      </c>
      <c r="P31" s="95">
        <f>P19/P25</f>
        <v>0.89514243039419716</v>
      </c>
      <c r="Q31" s="95">
        <f t="shared" ref="Q31:R31" si="7">Q19/Q25</f>
        <v>0.85871645246296047</v>
      </c>
      <c r="R31" s="95">
        <f t="shared" si="7"/>
        <v>0.89989282892368516</v>
      </c>
    </row>
    <row r="32" spans="1:19" ht="14.25" x14ac:dyDescent="0.15">
      <c r="A32" s="263" t="s">
        <v>129</v>
      </c>
      <c r="B32" s="265" t="s">
        <v>130</v>
      </c>
      <c r="C32" s="265" t="str">
        <f>C20</f>
        <v>西側の妻住戸</v>
      </c>
      <c r="D32" s="75" t="str">
        <f t="shared" si="3"/>
        <v>(南)</v>
      </c>
      <c r="E32" s="63" t="s">
        <v>131</v>
      </c>
      <c r="F32" s="69" t="s">
        <v>61</v>
      </c>
      <c r="G32" s="87">
        <f>G10/入力!E14*$G$7-G20</f>
        <v>16.140118009424853</v>
      </c>
      <c r="H32" s="87">
        <f>H10/入力!F14*$G$7-H20</f>
        <v>16.11605400942485</v>
      </c>
      <c r="I32" s="87">
        <f>I10/入力!G14*$G$7-I20</f>
        <v>16.11605400942485</v>
      </c>
      <c r="K32" s="92">
        <f>G32*入力!$E$23</f>
        <v>12.66999263739851</v>
      </c>
      <c r="L32" s="92">
        <f>H32*入力!$E$23</f>
        <v>12.651102397398509</v>
      </c>
      <c r="M32" s="92">
        <f>I32*入力!$E$23</f>
        <v>12.651102397398509</v>
      </c>
      <c r="O32" s="91" t="str">
        <f t="shared" ref="O32:O33" si="8">O26</f>
        <v>東側の妻住戸</v>
      </c>
      <c r="P32" s="95">
        <f t="shared" ref="P32:R33" si="9">P20/P26</f>
        <v>0.89514243039419716</v>
      </c>
      <c r="Q32" s="95">
        <f t="shared" si="9"/>
        <v>0.85871645246296047</v>
      </c>
      <c r="R32" s="95">
        <f t="shared" si="9"/>
        <v>0.89989282892368516</v>
      </c>
    </row>
    <row r="33" spans="1:18" ht="14.25" x14ac:dyDescent="0.15">
      <c r="A33" s="284"/>
      <c r="B33" s="283"/>
      <c r="C33" s="283"/>
      <c r="D33" s="76" t="str">
        <f t="shared" si="3"/>
        <v>(西)</v>
      </c>
      <c r="E33" s="70" t="s">
        <v>132</v>
      </c>
      <c r="F33" s="71" t="s">
        <v>61</v>
      </c>
      <c r="G33" s="85">
        <f>G11*$G$7-G21</f>
        <v>17.137693295633941</v>
      </c>
      <c r="H33" s="85">
        <f t="shared" ref="H33:I33" si="10">H11*$G$7-H21</f>
        <v>17.132893295633941</v>
      </c>
      <c r="I33" s="85">
        <f t="shared" si="10"/>
        <v>17.132893295633941</v>
      </c>
      <c r="K33" s="93">
        <f>G33*入力!$E$23</f>
        <v>13.453089237072644</v>
      </c>
      <c r="L33" s="93">
        <f>H33*入力!$E$23</f>
        <v>13.449321237072645</v>
      </c>
      <c r="M33" s="93">
        <f>I33*入力!$E$23</f>
        <v>13.449321237072645</v>
      </c>
      <c r="O33" s="91" t="str">
        <f t="shared" si="8"/>
        <v>中住戸</v>
      </c>
      <c r="P33" s="95">
        <f t="shared" si="9"/>
        <v>0.82288316897373881</v>
      </c>
      <c r="Q33" s="95">
        <f t="shared" si="9"/>
        <v>0.77510267479208905</v>
      </c>
      <c r="R33" s="95">
        <f t="shared" si="9"/>
        <v>0.81534257262015908</v>
      </c>
    </row>
    <row r="34" spans="1:18" ht="14.25" x14ac:dyDescent="0.15">
      <c r="A34" s="284"/>
      <c r="B34" s="283"/>
      <c r="C34" s="283"/>
      <c r="D34" s="172" t="str">
        <f t="shared" si="3"/>
        <v>(北)</v>
      </c>
      <c r="E34" s="184" t="s">
        <v>133</v>
      </c>
      <c r="F34" s="179" t="s">
        <v>61</v>
      </c>
      <c r="G34" s="185">
        <f>G10*$G$7/入力!E14-G22-G122</f>
        <v>16.545702009424851</v>
      </c>
      <c r="H34" s="185">
        <f>H10*$G$7/入力!F14-H22-H122</f>
        <v>16.532166009424849</v>
      </c>
      <c r="I34" s="185">
        <f>I10*$G$7/入力!G14-I22-I122</f>
        <v>16.532166009424849</v>
      </c>
      <c r="K34" s="93">
        <f>G34*入力!$E$23</f>
        <v>12.988376077398508</v>
      </c>
      <c r="L34" s="93">
        <f>H34*入力!$E$23</f>
        <v>12.977750317398506</v>
      </c>
      <c r="M34" s="93">
        <f>I34*入力!$E$23</f>
        <v>12.977750317398506</v>
      </c>
    </row>
    <row r="35" spans="1:18" ht="14.25" x14ac:dyDescent="0.15">
      <c r="A35" s="285"/>
      <c r="B35" s="283"/>
      <c r="C35" s="286"/>
      <c r="D35" s="114" t="str">
        <f t="shared" si="3"/>
        <v>(東)</v>
      </c>
      <c r="E35" s="115" t="s">
        <v>134</v>
      </c>
      <c r="F35" s="116" t="s">
        <v>61</v>
      </c>
      <c r="G35" s="127">
        <f>IF(入力!E14=1, G11*$G$7-G23, 0)</f>
        <v>0</v>
      </c>
      <c r="H35" s="127">
        <f>IF(入力!F14=1, H11*$G$7-H23, 0)</f>
        <v>0</v>
      </c>
      <c r="I35" s="127">
        <f>IF(入力!G14=1, I11*$G$7-I23, 0)</f>
        <v>0</v>
      </c>
      <c r="K35" s="118">
        <f>G35*入力!$E$23</f>
        <v>0</v>
      </c>
      <c r="L35" s="118">
        <f>H35*入力!$E$23</f>
        <v>0</v>
      </c>
      <c r="M35" s="118">
        <f>I35*入力!$E$23</f>
        <v>0</v>
      </c>
      <c r="O35" s="247" t="s">
        <v>206</v>
      </c>
      <c r="P35" s="248"/>
      <c r="Q35" s="248"/>
      <c r="R35" s="52" t="s">
        <v>207</v>
      </c>
    </row>
    <row r="36" spans="1:18" ht="14.25" x14ac:dyDescent="0.15">
      <c r="A36" s="263" t="s">
        <v>135</v>
      </c>
      <c r="B36" s="283"/>
      <c r="C36" s="265" t="str">
        <f>C24</f>
        <v>東側の妻住戸</v>
      </c>
      <c r="D36" s="107" t="str">
        <f t="shared" si="3"/>
        <v>(南)</v>
      </c>
      <c r="E36" s="108" t="s">
        <v>131</v>
      </c>
      <c r="F36" s="109" t="s">
        <v>61</v>
      </c>
      <c r="G36" s="87">
        <f>IF(入力!E14=1, "-", G10*$G$7/入力!E14-G24)</f>
        <v>16.140118009424853</v>
      </c>
      <c r="H36" s="87">
        <f>IF(入力!F14=1, "-", H10*$G$7/入力!F14-H24)</f>
        <v>16.11605400942485</v>
      </c>
      <c r="I36" s="87">
        <f>IF(入力!G14=1, "-", I10*$G$7/入力!G14-I24)</f>
        <v>16.11605400942485</v>
      </c>
      <c r="J36" s="124"/>
      <c r="K36" s="92">
        <f>G36*入力!$E$23</f>
        <v>12.66999263739851</v>
      </c>
      <c r="L36" s="92">
        <f>H36*入力!$E$23</f>
        <v>12.651102397398509</v>
      </c>
      <c r="M36" s="92">
        <f>I36*入力!$E$23</f>
        <v>12.651102397398509</v>
      </c>
      <c r="O36" s="89"/>
      <c r="P36" s="53" t="str">
        <f>O31</f>
        <v>西側の妻住戸</v>
      </c>
      <c r="Q36" s="53" t="str">
        <f>O33</f>
        <v>中住戸</v>
      </c>
      <c r="R36" s="53" t="str">
        <f>O32</f>
        <v>東側の妻住戸</v>
      </c>
    </row>
    <row r="37" spans="1:18" ht="14.25" x14ac:dyDescent="0.15">
      <c r="A37" s="284"/>
      <c r="B37" s="283"/>
      <c r="C37" s="283"/>
      <c r="D37" s="110" t="str">
        <f t="shared" si="3"/>
        <v>(西)</v>
      </c>
      <c r="E37" s="70" t="s">
        <v>132</v>
      </c>
      <c r="F37" s="71" t="s">
        <v>61</v>
      </c>
      <c r="G37" s="85">
        <f>IF(入力!E14=1, "-", 0)</f>
        <v>0</v>
      </c>
      <c r="H37" s="85">
        <f>IF(入力!F14=1, "-", 0)</f>
        <v>0</v>
      </c>
      <c r="I37" s="85">
        <f>IF(入力!G14=1, "-", 0)</f>
        <v>0</v>
      </c>
      <c r="J37" s="125"/>
      <c r="K37" s="93">
        <f>G37*入力!$E$23</f>
        <v>0</v>
      </c>
      <c r="L37" s="93">
        <f>H37*入力!$E$23</f>
        <v>0</v>
      </c>
      <c r="M37" s="93">
        <f>I37*入力!$E$23</f>
        <v>0</v>
      </c>
      <c r="O37" s="88" t="str">
        <f>R30</f>
        <v>3階</v>
      </c>
      <c r="P37" s="95">
        <f>R31</f>
        <v>0.89989282892368516</v>
      </c>
      <c r="Q37" s="95">
        <f>R33</f>
        <v>0.81534257262015908</v>
      </c>
      <c r="R37" s="95">
        <f>R32</f>
        <v>0.89989282892368516</v>
      </c>
    </row>
    <row r="38" spans="1:18" ht="14.25" x14ac:dyDescent="0.15">
      <c r="A38" s="284"/>
      <c r="B38" s="283"/>
      <c r="C38" s="283"/>
      <c r="D38" s="172" t="str">
        <f t="shared" si="3"/>
        <v>(北)</v>
      </c>
      <c r="E38" s="184" t="s">
        <v>133</v>
      </c>
      <c r="F38" s="179" t="s">
        <v>61</v>
      </c>
      <c r="G38" s="185">
        <f>IF(入力!E14=1, "-", G10*$G$7/入力!E14-G26-G123)</f>
        <v>16.545702009424851</v>
      </c>
      <c r="H38" s="185">
        <f>IF(入力!F14=1, "-", H10*$G$7/入力!F14-H26-H123)</f>
        <v>16.532166009424849</v>
      </c>
      <c r="I38" s="185">
        <f>IF(入力!G14=1, "-", I10*$G$7/入力!G14-I26-I123)</f>
        <v>16.532166009424849</v>
      </c>
      <c r="J38" s="125"/>
      <c r="K38" s="93">
        <f>G38*入力!$E$23</f>
        <v>12.988376077398508</v>
      </c>
      <c r="L38" s="93">
        <f>H38*入力!$E$23</f>
        <v>12.977750317398506</v>
      </c>
      <c r="M38" s="93">
        <f>I38*入力!$E$23</f>
        <v>12.977750317398506</v>
      </c>
      <c r="O38" s="88" t="str">
        <f>Q30</f>
        <v>2階</v>
      </c>
      <c r="P38" s="95">
        <f>Q31</f>
        <v>0.85871645246296047</v>
      </c>
      <c r="Q38" s="95">
        <f>Q33</f>
        <v>0.77510267479208905</v>
      </c>
      <c r="R38" s="95">
        <f>Q32</f>
        <v>0.85871645246296047</v>
      </c>
    </row>
    <row r="39" spans="1:18" ht="14.25" x14ac:dyDescent="0.15">
      <c r="A39" s="287"/>
      <c r="B39" s="283"/>
      <c r="C39" s="268"/>
      <c r="D39" s="113" t="str">
        <f t="shared" si="3"/>
        <v>(東)</v>
      </c>
      <c r="E39" s="66" t="s">
        <v>134</v>
      </c>
      <c r="F39" s="73" t="s">
        <v>61</v>
      </c>
      <c r="G39" s="86">
        <f>IF(入力!E14=1, "-", G11*$G$7-G27)</f>
        <v>17.137693295633941</v>
      </c>
      <c r="H39" s="86">
        <f>IF(入力!F14=1, "-", H11*$G$7-H27)</f>
        <v>17.132893295633941</v>
      </c>
      <c r="I39" s="86">
        <f>IF(入力!G14=1, "-", I11*$G$7-I27)</f>
        <v>17.132893295633941</v>
      </c>
      <c r="J39" s="126"/>
      <c r="K39" s="94">
        <f>G39*入力!$E$23</f>
        <v>13.453089237072644</v>
      </c>
      <c r="L39" s="94">
        <f>H39*入力!$E$23</f>
        <v>13.449321237072645</v>
      </c>
      <c r="M39" s="94">
        <f>I39*入力!$E$23</f>
        <v>13.449321237072645</v>
      </c>
      <c r="O39" s="88" t="str">
        <f>P30</f>
        <v>1階</v>
      </c>
      <c r="P39" s="95">
        <f>P31</f>
        <v>0.89514243039419716</v>
      </c>
      <c r="Q39" s="95">
        <f>P33</f>
        <v>0.82288316897373881</v>
      </c>
      <c r="R39" s="95">
        <f>P32</f>
        <v>0.89514243039419716</v>
      </c>
    </row>
    <row r="40" spans="1:18" ht="14.25" x14ac:dyDescent="0.15">
      <c r="A40" s="294" t="s">
        <v>136</v>
      </c>
      <c r="B40" s="283"/>
      <c r="C40" s="295" t="str">
        <f>C28</f>
        <v>中住戸</v>
      </c>
      <c r="D40" s="119" t="str">
        <f t="shared" si="3"/>
        <v>(南)</v>
      </c>
      <c r="E40" s="120" t="s">
        <v>131</v>
      </c>
      <c r="F40" s="121" t="s">
        <v>61</v>
      </c>
      <c r="G40" s="122">
        <f>IF(入力!E14&lt;=2, "-", G10*$G$7/入力!E14-G28)</f>
        <v>16.140118009424853</v>
      </c>
      <c r="H40" s="122">
        <f>IF(入力!F14&lt;=2, "-", H10*$G$7/入力!F14-H28)</f>
        <v>16.11605400942485</v>
      </c>
      <c r="I40" s="122">
        <f>IF(入力!G14&lt;=2, "-", I10*$G$7/入力!G14-I28)</f>
        <v>16.11605400942485</v>
      </c>
      <c r="K40" s="123">
        <f>G40*入力!$E$23</f>
        <v>12.66999263739851</v>
      </c>
      <c r="L40" s="123">
        <f>H40*入力!$E$23</f>
        <v>12.651102397398509</v>
      </c>
      <c r="M40" s="123">
        <f>I40*入力!$E$23</f>
        <v>12.651102397398509</v>
      </c>
    </row>
    <row r="41" spans="1:18" ht="14.25" x14ac:dyDescent="0.15">
      <c r="A41" s="284"/>
      <c r="B41" s="283"/>
      <c r="C41" s="283"/>
      <c r="D41" s="76" t="str">
        <f t="shared" si="3"/>
        <v>(西)</v>
      </c>
      <c r="E41" s="70" t="s">
        <v>132</v>
      </c>
      <c r="F41" s="71" t="s">
        <v>61</v>
      </c>
      <c r="G41" s="72">
        <f>IF(入力!E14&lt;=2, "-", 0)</f>
        <v>0</v>
      </c>
      <c r="H41" s="72">
        <f>IF(入力!F14&lt;=2, "-", 0)</f>
        <v>0</v>
      </c>
      <c r="I41" s="72">
        <f>IF(入力!G14&lt;=2, "-", 0)</f>
        <v>0</v>
      </c>
      <c r="K41" s="93">
        <f>G41*入力!$E$23</f>
        <v>0</v>
      </c>
      <c r="L41" s="93">
        <f>H41*入力!$E$23</f>
        <v>0</v>
      </c>
      <c r="M41" s="93">
        <f>I41*入力!$E$23</f>
        <v>0</v>
      </c>
      <c r="R41" s="51" t="s">
        <v>272</v>
      </c>
    </row>
    <row r="42" spans="1:18" ht="14.25" x14ac:dyDescent="0.15">
      <c r="A42" s="284"/>
      <c r="B42" s="283"/>
      <c r="C42" s="283"/>
      <c r="D42" s="172" t="str">
        <f t="shared" si="3"/>
        <v>(北)</v>
      </c>
      <c r="E42" s="184" t="s">
        <v>133</v>
      </c>
      <c r="F42" s="179" t="s">
        <v>61</v>
      </c>
      <c r="G42" s="180">
        <f>IF(入力!E14&lt;=2, "-", G10*$G$7/入力!E14-G30-G124)</f>
        <v>16.545702009424851</v>
      </c>
      <c r="H42" s="180">
        <f>IF(入力!F14&lt;=2, "-", H10*$G$7/入力!F14-H30-H124)</f>
        <v>16.532166009424849</v>
      </c>
      <c r="I42" s="180">
        <f>IF(入力!G14&lt;=2, "-", I10*$G$7/入力!G14-I30-I124)</f>
        <v>16.532166009424849</v>
      </c>
      <c r="K42" s="93">
        <f>G42*入力!$E$23</f>
        <v>12.988376077398508</v>
      </c>
      <c r="L42" s="93">
        <f>H42*入力!$E$23</f>
        <v>12.977750317398506</v>
      </c>
      <c r="M42" s="93">
        <f>I42*入力!$E$23</f>
        <v>12.977750317398506</v>
      </c>
      <c r="O42" s="22" t="s">
        <v>5</v>
      </c>
      <c r="P42" s="22" t="s">
        <v>261</v>
      </c>
      <c r="Q42" s="51" t="s">
        <v>262</v>
      </c>
      <c r="R42" s="51" t="s">
        <v>262</v>
      </c>
    </row>
    <row r="43" spans="1:18" ht="14.25" x14ac:dyDescent="0.15">
      <c r="A43" s="287"/>
      <c r="B43" s="268"/>
      <c r="C43" s="268"/>
      <c r="D43" s="78" t="str">
        <f t="shared" si="3"/>
        <v>(東)</v>
      </c>
      <c r="E43" s="66" t="s">
        <v>134</v>
      </c>
      <c r="F43" s="73" t="s">
        <v>61</v>
      </c>
      <c r="G43" s="68">
        <f>IF(入力!E14&lt;=2, "-", 0)</f>
        <v>0</v>
      </c>
      <c r="H43" s="68">
        <f>IF(入力!F14&lt;=2, "-", 0)</f>
        <v>0</v>
      </c>
      <c r="I43" s="68">
        <f>IF(入力!G14&lt;=2, "-", 0)</f>
        <v>0</v>
      </c>
      <c r="K43" s="128">
        <f>G43*入力!$E$23</f>
        <v>0</v>
      </c>
      <c r="L43" s="128">
        <f>H43*入力!$E$23</f>
        <v>0</v>
      </c>
      <c r="M43" s="128">
        <f>I43*入力!$E$23</f>
        <v>0</v>
      </c>
      <c r="O43" s="22" t="s">
        <v>263</v>
      </c>
      <c r="P43" s="22">
        <v>101</v>
      </c>
      <c r="Q43" s="165">
        <f>P39</f>
        <v>0.89514243039419716</v>
      </c>
      <c r="R43" s="165">
        <v>0.83</v>
      </c>
    </row>
    <row r="44" spans="1:18" ht="14.25" x14ac:dyDescent="0.15">
      <c r="A44" s="59" t="s">
        <v>142</v>
      </c>
      <c r="B44" s="299" t="s">
        <v>143</v>
      </c>
      <c r="C44" s="300"/>
      <c r="D44" s="301"/>
      <c r="E44" s="61" t="s">
        <v>144</v>
      </c>
      <c r="F44" s="56" t="s">
        <v>61</v>
      </c>
      <c r="G44" s="62">
        <f>IF(G8=1, 0, G13/入力!E14)</f>
        <v>0</v>
      </c>
      <c r="H44" s="62">
        <f>IF(H8=1, 0, H13/入力!F14)</f>
        <v>0</v>
      </c>
      <c r="I44" s="62">
        <f>IF(I8=1, 0, I13/入力!G14)</f>
        <v>0</v>
      </c>
      <c r="K44" s="129">
        <f>G44*入力!E29</f>
        <v>0</v>
      </c>
      <c r="L44" s="129">
        <f>H44*入力!F29</f>
        <v>0</v>
      </c>
      <c r="M44" s="129">
        <f>I44*入力!G29</f>
        <v>0</v>
      </c>
      <c r="O44" s="164"/>
      <c r="P44" s="22">
        <v>102</v>
      </c>
      <c r="Q44" s="165">
        <f>Q39</f>
        <v>0.82288316897373881</v>
      </c>
      <c r="R44" s="165">
        <v>0.77</v>
      </c>
    </row>
    <row r="45" spans="1:18" x14ac:dyDescent="0.15">
      <c r="A45" s="111" t="s">
        <v>147</v>
      </c>
      <c r="B45" s="302" t="s">
        <v>145</v>
      </c>
      <c r="C45" s="296" t="str">
        <f>G3&amp;"側の妻住戸"</f>
        <v>西側の妻住戸</v>
      </c>
      <c r="D45" s="257"/>
      <c r="E45" s="331" t="s">
        <v>146</v>
      </c>
      <c r="F45" s="347" t="s">
        <v>61</v>
      </c>
      <c r="G45" s="65">
        <f>IF(入力!E14=1, 0, G11*$G$7)</f>
        <v>18.052093295633941</v>
      </c>
      <c r="H45" s="65">
        <f>IF(入力!F14=1, 0, H11*$G$7)</f>
        <v>18.052093295633941</v>
      </c>
      <c r="I45" s="65">
        <f>IF(入力!G14=1, 0, I11*$G$7)</f>
        <v>18.052093295633941</v>
      </c>
      <c r="K45" s="130">
        <f>G45*入力!$E$32*IF(入力!$E$7&lt;=3, リスト!$D$23, リスト!$E$23)</f>
        <v>6.3362847467675136</v>
      </c>
      <c r="L45" s="130">
        <f>H45*入力!$E$32*IF(入力!$E$7&lt;=3, リスト!$D$23, リスト!$E$23)</f>
        <v>6.3362847467675136</v>
      </c>
      <c r="M45" s="130">
        <f>I45*入力!$E$32*IF(入力!$E$7&lt;=3, リスト!$D$23, リスト!$E$23)</f>
        <v>6.3362847467675136</v>
      </c>
      <c r="O45" s="22"/>
      <c r="P45" s="22">
        <v>103</v>
      </c>
      <c r="Q45" s="165">
        <f>Q44</f>
        <v>0.82288316897373881</v>
      </c>
      <c r="R45" s="165">
        <v>0.77</v>
      </c>
    </row>
    <row r="46" spans="1:18" x14ac:dyDescent="0.15">
      <c r="A46" s="112" t="s">
        <v>148</v>
      </c>
      <c r="B46" s="259"/>
      <c r="C46" s="297" t="str">
        <f>G5&amp;"側の妻住戸"</f>
        <v>東側の妻住戸</v>
      </c>
      <c r="D46" s="259"/>
      <c r="E46" s="345"/>
      <c r="F46" s="348"/>
      <c r="G46" s="72">
        <f>IF(入力!E14=1, "-", G11*$G$7)</f>
        <v>18.052093295633941</v>
      </c>
      <c r="H46" s="72">
        <f>IF(入力!F14=1, "-", H11*$G$7)</f>
        <v>18.052093295633941</v>
      </c>
      <c r="I46" s="72">
        <f>IF(入力!G14=1, "-", I11*$G$7)</f>
        <v>18.052093295633941</v>
      </c>
      <c r="K46" s="131">
        <f>G46*入力!$E$32*IF(入力!$E$7&lt;=3, リスト!$D$23, リスト!$E$23)</f>
        <v>6.3362847467675136</v>
      </c>
      <c r="L46" s="131">
        <f>H46*入力!$E$32*IF(入力!$E$7&lt;=3, リスト!$D$23, リスト!$E$23)</f>
        <v>6.3362847467675136</v>
      </c>
      <c r="M46" s="131">
        <f>I46*入力!$E$32*IF(入力!$E$7&lt;=3, リスト!$D$23, リスト!$E$23)</f>
        <v>6.3362847467675136</v>
      </c>
      <c r="O46" s="22"/>
      <c r="P46" s="22">
        <v>104</v>
      </c>
      <c r="Q46" s="165">
        <f>R39</f>
        <v>0.89514243039419716</v>
      </c>
      <c r="R46" s="165">
        <v>0.83</v>
      </c>
    </row>
    <row r="47" spans="1:18" x14ac:dyDescent="0.15">
      <c r="A47" s="83" t="s">
        <v>149</v>
      </c>
      <c r="B47" s="261"/>
      <c r="C47" s="298" t="s">
        <v>125</v>
      </c>
      <c r="D47" s="261"/>
      <c r="E47" s="346"/>
      <c r="F47" s="264"/>
      <c r="G47" s="68">
        <f>IF(入力!E14&lt;=2, "-", G11*$G$7*2)</f>
        <v>36.104186591267883</v>
      </c>
      <c r="H47" s="68">
        <f>IF(入力!F14&lt;=2, "-", H11*$G$7*2)</f>
        <v>36.104186591267883</v>
      </c>
      <c r="I47" s="68">
        <f>IF(入力!G14&lt;=2, "-", I11*$G$7*2)</f>
        <v>36.104186591267883</v>
      </c>
      <c r="K47" s="128">
        <f>G47*入力!$E$32*IF(入力!$E$7&lt;=3, リスト!$D$23, リスト!$E$23)</f>
        <v>12.672569493535027</v>
      </c>
      <c r="L47" s="128">
        <f>H47*入力!$E$32*IF(入力!$E$7&lt;=3, リスト!$D$23, リスト!$E$23)</f>
        <v>12.672569493535027</v>
      </c>
      <c r="M47" s="128">
        <f>I47*入力!$E$32*IF(入力!$E$7&lt;=3, リスト!$D$23, リスト!$E$23)</f>
        <v>12.672569493535027</v>
      </c>
      <c r="O47" s="22" t="s">
        <v>264</v>
      </c>
      <c r="P47" s="22">
        <v>201</v>
      </c>
      <c r="Q47" s="165">
        <f>P38</f>
        <v>0.85871645246296047</v>
      </c>
      <c r="R47" s="165">
        <v>0.81</v>
      </c>
    </row>
    <row r="48" spans="1:18" ht="13.5" customHeight="1" x14ac:dyDescent="0.15">
      <c r="A48" s="59" t="s">
        <v>150</v>
      </c>
      <c r="B48" s="299" t="s">
        <v>151</v>
      </c>
      <c r="C48" s="300"/>
      <c r="D48" s="301"/>
      <c r="E48" s="61" t="s">
        <v>152</v>
      </c>
      <c r="F48" s="56" t="s">
        <v>7</v>
      </c>
      <c r="G48" s="62">
        <f>IF(G8=1, 0, G9/入力!E14-G44)</f>
        <v>0</v>
      </c>
      <c r="H48" s="62">
        <f>IF(H8=1, 0, H9/入力!F14-H44)</f>
        <v>40.659999999999997</v>
      </c>
      <c r="I48" s="62">
        <f>IF(I8=1, 0, I9/入力!G14-I44)</f>
        <v>40.659999999999997</v>
      </c>
      <c r="J48" s="50"/>
      <c r="K48" s="129">
        <f>G48*入力!$E$33*IF(入力!$E$7&lt;=3, リスト!$D$23, リスト!$E$23)</f>
        <v>0</v>
      </c>
      <c r="L48" s="129">
        <f>H48*入力!$E$33*IF(入力!$E$7&lt;=3, リスト!$D$23, リスト!$E$23)</f>
        <v>10.953803999999998</v>
      </c>
      <c r="M48" s="129">
        <f>I48*入力!$E$33*IF(入力!$E$7&lt;=3, リスト!$D$23, リスト!$E$23)</f>
        <v>10.953803999999998</v>
      </c>
      <c r="O48" s="164"/>
      <c r="P48" s="22">
        <v>202</v>
      </c>
      <c r="Q48" s="165">
        <f>Q38</f>
        <v>0.77510267479208905</v>
      </c>
      <c r="R48" s="165">
        <v>0.73</v>
      </c>
    </row>
    <row r="49" spans="1:23" ht="14.25" x14ac:dyDescent="0.15">
      <c r="A49" s="59" t="s">
        <v>153</v>
      </c>
      <c r="B49" s="299" t="s">
        <v>154</v>
      </c>
      <c r="C49" s="300"/>
      <c r="D49" s="301"/>
      <c r="E49" s="61" t="s">
        <v>155</v>
      </c>
      <c r="F49" s="56" t="s">
        <v>7</v>
      </c>
      <c r="G49" s="62">
        <f>IF(G8=入力!$E$9, 0,G9/入力!E14-G19 )</f>
        <v>40.659999999999997</v>
      </c>
      <c r="H49" s="62">
        <f>IF(H8=入力!$E$9, 0,H9/入力!F14-H19 )</f>
        <v>40.659999999999997</v>
      </c>
      <c r="I49" s="62">
        <f>IF(I8=入力!$E$9, 0,I9/入力!G14-I19 )</f>
        <v>0</v>
      </c>
      <c r="K49" s="129">
        <f>G49*入力!$E$33*IF(入力!$E$7&lt;=3, リスト!$D$23, リスト!$E$23)</f>
        <v>10.953803999999998</v>
      </c>
      <c r="L49" s="129">
        <f>H49*入力!$E$33*IF(入力!$E$7&lt;=3, リスト!$D$23, リスト!$E$23)</f>
        <v>10.953803999999998</v>
      </c>
      <c r="M49" s="129">
        <f>I49*入力!$E$33*IF(入力!$E$7&lt;=3, リスト!$D$23, リスト!$E$23)</f>
        <v>0</v>
      </c>
      <c r="O49" s="22"/>
      <c r="P49" s="22">
        <v>203</v>
      </c>
      <c r="Q49" s="165">
        <f>Q48</f>
        <v>0.77510267479208905</v>
      </c>
      <c r="R49" s="165">
        <v>0.73</v>
      </c>
    </row>
    <row r="50" spans="1:23" ht="14.25" x14ac:dyDescent="0.15">
      <c r="A50" s="59"/>
      <c r="B50" s="299" t="s">
        <v>203</v>
      </c>
      <c r="C50" s="343"/>
      <c r="D50" s="344"/>
      <c r="E50" s="61"/>
      <c r="F50" s="56" t="s">
        <v>61</v>
      </c>
      <c r="G50" s="62">
        <f>IF(G8=1, G9/入力!E14, 0)</f>
        <v>40.659999999999997</v>
      </c>
      <c r="H50" s="62">
        <f>IF(H8=1, H9/入力!F14, 0)</f>
        <v>0</v>
      </c>
      <c r="I50" s="62">
        <f>IF(I8=1, I9/入力!G14, 0)</f>
        <v>0</v>
      </c>
      <c r="K50" s="129">
        <f>G50*入力!$E$29*リスト!$C$23</f>
        <v>14.430233999999999</v>
      </c>
      <c r="L50" s="129">
        <f>H50*入力!$E$29*リスト!$C$23</f>
        <v>0</v>
      </c>
      <c r="M50" s="129">
        <f>I50*入力!$E$29*リスト!$C$23</f>
        <v>0</v>
      </c>
      <c r="O50" s="22"/>
      <c r="P50" s="22">
        <v>204</v>
      </c>
      <c r="Q50" s="165">
        <f>R38</f>
        <v>0.85871645246296047</v>
      </c>
      <c r="R50" s="165">
        <v>0.81</v>
      </c>
    </row>
    <row r="51" spans="1:23" s="47" customFormat="1" ht="13.5" x14ac:dyDescent="0.15">
      <c r="A51" s="269" t="s">
        <v>158</v>
      </c>
      <c r="B51" s="270"/>
      <c r="C51" s="270"/>
      <c r="D51" s="270"/>
      <c r="E51" s="270"/>
      <c r="F51" s="270"/>
      <c r="G51" s="270"/>
      <c r="H51" s="270"/>
      <c r="I51" s="270"/>
      <c r="K51" s="51"/>
      <c r="L51" s="51"/>
      <c r="M51" s="51"/>
      <c r="N51" s="51"/>
      <c r="O51" s="22" t="s">
        <v>265</v>
      </c>
      <c r="P51" s="22">
        <v>301</v>
      </c>
      <c r="Q51" s="165">
        <f>P37</f>
        <v>0.89989282892368516</v>
      </c>
      <c r="R51" s="165">
        <v>0.83</v>
      </c>
      <c r="S51" s="51"/>
      <c r="T51" s="51"/>
      <c r="U51" s="51"/>
      <c r="V51" s="51"/>
      <c r="W51" s="51"/>
    </row>
    <row r="52" spans="1:23" x14ac:dyDescent="0.15">
      <c r="A52" s="289" t="s">
        <v>159</v>
      </c>
      <c r="B52" s="265" t="s">
        <v>229</v>
      </c>
      <c r="C52" s="265" t="str">
        <f>C32</f>
        <v>西側の妻住戸</v>
      </c>
      <c r="D52" s="75" t="str">
        <f>D32</f>
        <v>(南)</v>
      </c>
      <c r="E52" s="63" t="s">
        <v>210</v>
      </c>
      <c r="F52" s="64" t="s">
        <v>22</v>
      </c>
      <c r="G52" s="65">
        <f>IF(入力!E14=1, $G$7*2, $G$7)</f>
        <v>3.0333333333333332</v>
      </c>
      <c r="H52" s="65">
        <f>IF(入力!F14=1, $G$7*2, $G$7)</f>
        <v>3.0333333333333332</v>
      </c>
      <c r="I52" s="65">
        <f>IF(入力!G14=1, $G$7*2, $G$7)</f>
        <v>3.0333333333333332</v>
      </c>
      <c r="K52" s="65">
        <f>G52*リスト!$B$8</f>
        <v>0</v>
      </c>
      <c r="L52" s="65">
        <f>H52*リスト!$B$8</f>
        <v>0</v>
      </c>
      <c r="M52" s="65">
        <f>I52*リスト!$B$8</f>
        <v>0</v>
      </c>
      <c r="O52" s="164"/>
      <c r="P52" s="22">
        <v>302</v>
      </c>
      <c r="Q52" s="165">
        <f>Q37</f>
        <v>0.81534257262015908</v>
      </c>
      <c r="R52" s="165">
        <v>0.75</v>
      </c>
    </row>
    <row r="53" spans="1:23" x14ac:dyDescent="0.15">
      <c r="A53" s="290"/>
      <c r="B53" s="290"/>
      <c r="C53" s="283"/>
      <c r="D53" s="76" t="str">
        <f t="shared" ref="D53:D63" si="11">D33</f>
        <v>(西)</v>
      </c>
      <c r="E53" s="70" t="s">
        <v>211</v>
      </c>
      <c r="F53" s="77" t="s">
        <v>22</v>
      </c>
      <c r="G53" s="72">
        <f>$G$7</f>
        <v>3.0333333333333332</v>
      </c>
      <c r="H53" s="72">
        <f t="shared" ref="H53:I53" si="12">$G$7</f>
        <v>3.0333333333333332</v>
      </c>
      <c r="I53" s="72">
        <f t="shared" si="12"/>
        <v>3.0333333333333332</v>
      </c>
      <c r="K53" s="72">
        <f>G53*リスト!$B$8</f>
        <v>0</v>
      </c>
      <c r="L53" s="72">
        <f>H53*リスト!$B$8</f>
        <v>0</v>
      </c>
      <c r="M53" s="72">
        <f>I53*リスト!$B$8</f>
        <v>0</v>
      </c>
      <c r="O53" s="22"/>
      <c r="P53" s="22">
        <v>303</v>
      </c>
      <c r="Q53" s="165">
        <f>Q52</f>
        <v>0.81534257262015908</v>
      </c>
      <c r="R53" s="165">
        <v>0.75</v>
      </c>
    </row>
    <row r="54" spans="1:23" x14ac:dyDescent="0.15">
      <c r="A54" s="290"/>
      <c r="B54" s="290"/>
      <c r="C54" s="283"/>
      <c r="D54" s="76" t="str">
        <f t="shared" si="11"/>
        <v>(北)</v>
      </c>
      <c r="E54" s="70" t="s">
        <v>212</v>
      </c>
      <c r="F54" s="77" t="s">
        <v>22</v>
      </c>
      <c r="G54" s="72">
        <f>0</f>
        <v>0</v>
      </c>
      <c r="H54" s="72">
        <f>0</f>
        <v>0</v>
      </c>
      <c r="I54" s="72">
        <f>0</f>
        <v>0</v>
      </c>
      <c r="K54" s="72">
        <f>G54*リスト!$B$8</f>
        <v>0</v>
      </c>
      <c r="L54" s="72">
        <f>H54*リスト!$B$8</f>
        <v>0</v>
      </c>
      <c r="M54" s="72">
        <f>I54*リスト!$B$8</f>
        <v>0</v>
      </c>
      <c r="O54" s="22"/>
      <c r="P54" s="22">
        <v>304</v>
      </c>
      <c r="Q54" s="165">
        <f>R37</f>
        <v>0.89989282892368516</v>
      </c>
      <c r="R54" s="165">
        <v>0.83</v>
      </c>
    </row>
    <row r="55" spans="1:23" x14ac:dyDescent="0.15">
      <c r="A55" s="291"/>
      <c r="B55" s="290"/>
      <c r="C55" s="286"/>
      <c r="D55" s="114" t="str">
        <f t="shared" si="11"/>
        <v>(東)</v>
      </c>
      <c r="E55" s="115" t="s">
        <v>213</v>
      </c>
      <c r="F55" s="132" t="s">
        <v>22</v>
      </c>
      <c r="G55" s="117">
        <f>IF(入力!E14=1, $G$7, 0)</f>
        <v>0</v>
      </c>
      <c r="H55" s="117">
        <f>IF(入力!F14=1, $G$7, 0)</f>
        <v>0</v>
      </c>
      <c r="I55" s="117">
        <f>IF(入力!G14=1, $G$7, 0)</f>
        <v>0</v>
      </c>
      <c r="K55" s="117">
        <f>G55*リスト!$B$8</f>
        <v>0</v>
      </c>
      <c r="L55" s="117">
        <f>H55*リスト!$B$8</f>
        <v>0</v>
      </c>
      <c r="M55" s="117">
        <f>I55*リスト!$B$8</f>
        <v>0</v>
      </c>
    </row>
    <row r="56" spans="1:23" x14ac:dyDescent="0.15">
      <c r="A56" s="289" t="s">
        <v>160</v>
      </c>
      <c r="B56" s="290"/>
      <c r="C56" s="265" t="str">
        <f t="shared" ref="C56" si="13">C36</f>
        <v>東側の妻住戸</v>
      </c>
      <c r="D56" s="107" t="str">
        <f t="shared" si="11"/>
        <v>(南)</v>
      </c>
      <c r="E56" s="108" t="s">
        <v>210</v>
      </c>
      <c r="F56" s="64" t="s">
        <v>22</v>
      </c>
      <c r="G56" s="65">
        <f>IF(入力!E14=1, "-", $G$7)</f>
        <v>3.0333333333333332</v>
      </c>
      <c r="H56" s="65">
        <f>IF(入力!F14=1, "-", $G$7)</f>
        <v>3.0333333333333332</v>
      </c>
      <c r="I56" s="65">
        <f>IF(入力!G14=1, "-", $G$7)</f>
        <v>3.0333333333333332</v>
      </c>
      <c r="J56" s="124"/>
      <c r="K56" s="65">
        <f>G56*リスト!$B$8</f>
        <v>0</v>
      </c>
      <c r="L56" s="65">
        <f>H56*リスト!$B$8</f>
        <v>0</v>
      </c>
      <c r="M56" s="65">
        <f>I56*リスト!$B$8</f>
        <v>0</v>
      </c>
    </row>
    <row r="57" spans="1:23" x14ac:dyDescent="0.15">
      <c r="A57" s="290"/>
      <c r="B57" s="290"/>
      <c r="C57" s="283"/>
      <c r="D57" s="110" t="str">
        <f t="shared" si="11"/>
        <v>(西)</v>
      </c>
      <c r="E57" s="70" t="s">
        <v>211</v>
      </c>
      <c r="F57" s="77" t="s">
        <v>22</v>
      </c>
      <c r="G57" s="72">
        <f>IF(入力!E14=1, "-",0)</f>
        <v>0</v>
      </c>
      <c r="H57" s="72">
        <f>IF(入力!F14=1, "-",0)</f>
        <v>0</v>
      </c>
      <c r="I57" s="72">
        <f>IF(入力!G14=1, "-",0)</f>
        <v>0</v>
      </c>
      <c r="J57" s="125"/>
      <c r="K57" s="72">
        <f>G57*リスト!$B$8</f>
        <v>0</v>
      </c>
      <c r="L57" s="72">
        <f>H57*リスト!$B$8</f>
        <v>0</v>
      </c>
      <c r="M57" s="72">
        <f>I57*リスト!$B$8</f>
        <v>0</v>
      </c>
    </row>
    <row r="58" spans="1:23" x14ac:dyDescent="0.15">
      <c r="A58" s="290"/>
      <c r="B58" s="290"/>
      <c r="C58" s="283"/>
      <c r="D58" s="110" t="str">
        <f t="shared" si="11"/>
        <v>(北)</v>
      </c>
      <c r="E58" s="70" t="s">
        <v>212</v>
      </c>
      <c r="F58" s="77" t="s">
        <v>22</v>
      </c>
      <c r="G58" s="72">
        <f>IF(入力!E14=1, "-", 0)</f>
        <v>0</v>
      </c>
      <c r="H58" s="72">
        <f>IF(入力!F14=1, "-", 0)</f>
        <v>0</v>
      </c>
      <c r="I58" s="72">
        <f>IF(入力!G14=1, "-", 0)</f>
        <v>0</v>
      </c>
      <c r="J58" s="125"/>
      <c r="K58" s="72">
        <f>G58*リスト!$B$8</f>
        <v>0</v>
      </c>
      <c r="L58" s="72">
        <f>H58*リスト!$B$8</f>
        <v>0</v>
      </c>
      <c r="M58" s="72">
        <f>I58*リスト!$B$8</f>
        <v>0</v>
      </c>
    </row>
    <row r="59" spans="1:23" x14ac:dyDescent="0.15">
      <c r="A59" s="292"/>
      <c r="B59" s="290"/>
      <c r="C59" s="268"/>
      <c r="D59" s="113" t="str">
        <f t="shared" si="11"/>
        <v>(東)</v>
      </c>
      <c r="E59" s="66" t="s">
        <v>213</v>
      </c>
      <c r="F59" s="67" t="s">
        <v>22</v>
      </c>
      <c r="G59" s="68">
        <f>IF(入力!E14=1, "-", $G$7)</f>
        <v>3.0333333333333332</v>
      </c>
      <c r="H59" s="68">
        <f>IF(入力!F14=1, "-", $G$7)</f>
        <v>3.0333333333333332</v>
      </c>
      <c r="I59" s="68">
        <f>IF(入力!G14=1, "-", $G$7)</f>
        <v>3.0333333333333332</v>
      </c>
      <c r="J59" s="126"/>
      <c r="K59" s="68">
        <f>G59*リスト!$B$8</f>
        <v>0</v>
      </c>
      <c r="L59" s="68">
        <f>H59*リスト!$B$8</f>
        <v>0</v>
      </c>
      <c r="M59" s="68">
        <f>I59*リスト!$B$8</f>
        <v>0</v>
      </c>
    </row>
    <row r="60" spans="1:23" x14ac:dyDescent="0.15">
      <c r="A60" s="293" t="s">
        <v>161</v>
      </c>
      <c r="B60" s="290"/>
      <c r="C60" s="295" t="str">
        <f t="shared" ref="C60" si="14">C40</f>
        <v>中住戸</v>
      </c>
      <c r="D60" s="119" t="str">
        <f t="shared" si="11"/>
        <v>(南)</v>
      </c>
      <c r="E60" s="120" t="s">
        <v>210</v>
      </c>
      <c r="F60" s="133" t="s">
        <v>22</v>
      </c>
      <c r="G60" s="122">
        <f>IF(入力!E14&lt;=2, "-", 0)</f>
        <v>0</v>
      </c>
      <c r="H60" s="122">
        <f>IF(入力!F14&lt;=2, "-", 0)</f>
        <v>0</v>
      </c>
      <c r="I60" s="122">
        <f>IF(入力!G14&lt;=2, "-", 0)</f>
        <v>0</v>
      </c>
      <c r="K60" s="122">
        <f>G60*リスト!$B$8</f>
        <v>0</v>
      </c>
      <c r="L60" s="122">
        <f>H60*リスト!$B$8</f>
        <v>0</v>
      </c>
      <c r="M60" s="122">
        <f>I60*リスト!$B$8</f>
        <v>0</v>
      </c>
    </row>
    <row r="61" spans="1:23" x14ac:dyDescent="0.15">
      <c r="A61" s="290"/>
      <c r="B61" s="290"/>
      <c r="C61" s="283"/>
      <c r="D61" s="76" t="str">
        <f t="shared" si="11"/>
        <v>(西)</v>
      </c>
      <c r="E61" s="70" t="s">
        <v>211</v>
      </c>
      <c r="F61" s="77" t="s">
        <v>22</v>
      </c>
      <c r="G61" s="72">
        <f>IF(入力!E14&lt;=2, "-", 0)</f>
        <v>0</v>
      </c>
      <c r="H61" s="72">
        <f>IF(入力!F14&lt;=2, "-", 0)</f>
        <v>0</v>
      </c>
      <c r="I61" s="72">
        <f>IF(入力!G14&lt;=2, "-", 0)</f>
        <v>0</v>
      </c>
      <c r="K61" s="72">
        <f>G61*リスト!$B$8</f>
        <v>0</v>
      </c>
      <c r="L61" s="72">
        <f>H61*リスト!$B$8</f>
        <v>0</v>
      </c>
      <c r="M61" s="72">
        <f>I61*リスト!$B$8</f>
        <v>0</v>
      </c>
    </row>
    <row r="62" spans="1:23" x14ac:dyDescent="0.15">
      <c r="A62" s="290"/>
      <c r="B62" s="290"/>
      <c r="C62" s="283"/>
      <c r="D62" s="76" t="str">
        <f t="shared" si="11"/>
        <v>(北)</v>
      </c>
      <c r="E62" s="70" t="s">
        <v>212</v>
      </c>
      <c r="F62" s="77" t="s">
        <v>22</v>
      </c>
      <c r="G62" s="72">
        <f>IF(入力!E14&lt;=2, "-", 0)</f>
        <v>0</v>
      </c>
      <c r="H62" s="72">
        <f>IF(入力!F14&lt;=2, "-", 0)</f>
        <v>0</v>
      </c>
      <c r="I62" s="72">
        <f>IF(入力!G14&lt;=2, "-", 0)</f>
        <v>0</v>
      </c>
      <c r="K62" s="72">
        <f>G62*リスト!$B$8</f>
        <v>0</v>
      </c>
      <c r="L62" s="72">
        <f>H62*リスト!$B$8</f>
        <v>0</v>
      </c>
      <c r="M62" s="72">
        <f>I62*リスト!$B$8</f>
        <v>0</v>
      </c>
    </row>
    <row r="63" spans="1:23" x14ac:dyDescent="0.15">
      <c r="A63" s="292"/>
      <c r="B63" s="292"/>
      <c r="C63" s="268"/>
      <c r="D63" s="78" t="str">
        <f t="shared" si="11"/>
        <v>(東)</v>
      </c>
      <c r="E63" s="66" t="s">
        <v>213</v>
      </c>
      <c r="F63" s="67" t="s">
        <v>22</v>
      </c>
      <c r="G63" s="68">
        <f>IF(入力!E14&lt;=2, "-", 0)</f>
        <v>0</v>
      </c>
      <c r="H63" s="68">
        <f>IF(入力!F14&lt;=2, "-", 0)</f>
        <v>0</v>
      </c>
      <c r="I63" s="68">
        <f>IF(入力!G14&lt;=2, "-", 0)</f>
        <v>0</v>
      </c>
      <c r="K63" s="68">
        <f>G63*リスト!$B$8</f>
        <v>0</v>
      </c>
      <c r="L63" s="68">
        <f>H63*リスト!$B$8</f>
        <v>0</v>
      </c>
      <c r="M63" s="68">
        <f>I63*リスト!$B$8</f>
        <v>0</v>
      </c>
    </row>
    <row r="64" spans="1:23" x14ac:dyDescent="0.15">
      <c r="A64" s="169" t="s">
        <v>162</v>
      </c>
      <c r="B64" s="318" t="s">
        <v>230</v>
      </c>
      <c r="C64" s="170" t="str">
        <f>C52</f>
        <v>西側の妻住戸</v>
      </c>
      <c r="D64" s="170" t="s">
        <v>165</v>
      </c>
      <c r="E64" s="334" t="s">
        <v>214</v>
      </c>
      <c r="F64" s="64" t="s">
        <v>22</v>
      </c>
      <c r="G64" s="134">
        <f>IF(G8&lt;入力!$E$9, IF(G12=0, 0, IF(入力!E14=1, G10+(G12/G10)*2, G10/入力!E14+G12/G10)), IF(入力!E14=1, (計算!G10+計算!G11)*2, (計算!G10/入力!E14)*2+計算!G11))</f>
        <v>0</v>
      </c>
      <c r="H64" s="134">
        <f>IF(H8&lt;入力!$E$9, IF(H12=0, 0, IF(入力!F14=1, H10+(H12/H10)*2, H10/入力!F14+H12/H10)), IF(入力!F14=1, (計算!H10+計算!H11)*2, (計算!H10/入力!F14)*2+計算!H11))</f>
        <v>0</v>
      </c>
      <c r="I64" s="177">
        <f>IF(I8&lt;入力!$E$9, IF(I12=0, 0, IF(入力!G14=1, I10+(I12/I10)*2, I10/入力!G14+I12/I10)), IF(入力!G14=1, (計算!I10+計算!I11)*2, (計算!I10/入力!G14)*2+計算!I11))+($O$65*$O$66)</f>
        <v>21.615619774005594</v>
      </c>
      <c r="K64" s="65">
        <f>G64*リスト!$B$9</f>
        <v>0</v>
      </c>
      <c r="L64" s="65">
        <f>H64*リスト!$B$9</f>
        <v>0</v>
      </c>
      <c r="M64" s="65">
        <f>I64*リスト!$B$9</f>
        <v>7.5654669209019572</v>
      </c>
      <c r="O64" s="175" t="s">
        <v>273</v>
      </c>
      <c r="P64" s="175"/>
    </row>
    <row r="65" spans="1:23" x14ac:dyDescent="0.15">
      <c r="A65" s="171" t="s">
        <v>163</v>
      </c>
      <c r="B65" s="316"/>
      <c r="C65" s="172" t="str">
        <f t="shared" ref="C65" si="15">C56</f>
        <v>東側の妻住戸</v>
      </c>
      <c r="D65" s="172" t="s">
        <v>165</v>
      </c>
      <c r="E65" s="335"/>
      <c r="F65" s="77" t="s">
        <v>22</v>
      </c>
      <c r="G65" s="135">
        <f>IF(入力!E14=1, "-", IF(G8&lt;入力!$E$9, IF(G12=0, 0, G10/入力!E14+計算!G12/計算!G10), (計算!G10/入力!E14)*2+計算!G11))</f>
        <v>0</v>
      </c>
      <c r="H65" s="135">
        <f>IF(入力!F14=1, "-", IF(H8&lt;入力!$E$9, IF(H12=0, 0, H10/入力!F14+計算!H12/計算!H10), (計算!H10/入力!F14)*2+計算!H11))</f>
        <v>0</v>
      </c>
      <c r="I65" s="180">
        <f>IF(入力!G14=1, "-", IF(I8&lt;入力!$E$9, IF(I12=0, 0, I10/入力!G14+計算!I12/計算!I10), (計算!I10/入力!G14)*2+計算!I11))+($O$65*$O$66)</f>
        <v>21.615619774005594</v>
      </c>
      <c r="K65" s="72">
        <f>G65*リスト!$B$9</f>
        <v>0</v>
      </c>
      <c r="L65" s="72">
        <f>H65*リスト!$B$9</f>
        <v>0</v>
      </c>
      <c r="M65" s="72">
        <f>I65*リスト!$B$9</f>
        <v>7.5654669209019572</v>
      </c>
      <c r="O65" s="186">
        <v>1</v>
      </c>
      <c r="P65" s="175" t="s">
        <v>274</v>
      </c>
    </row>
    <row r="66" spans="1:23" x14ac:dyDescent="0.15">
      <c r="A66" s="173" t="s">
        <v>164</v>
      </c>
      <c r="B66" s="319"/>
      <c r="C66" s="174" t="str">
        <f t="shared" ref="C66" si="16">C60</f>
        <v>中住戸</v>
      </c>
      <c r="D66" s="174" t="s">
        <v>165</v>
      </c>
      <c r="E66" s="336"/>
      <c r="F66" s="67" t="s">
        <v>22</v>
      </c>
      <c r="G66" s="136">
        <f>IF(入力!E14&lt;=2,"-", IF(G8&lt;入力!$E$9, IF(G12=0,0,G10/入力!E14), (計算!G10/入力!E14)*2))</f>
        <v>0</v>
      </c>
      <c r="H66" s="136">
        <f>IF(入力!F14&lt;=2,"-", IF(H8&lt;入力!$E$9, IF(H12=0,0,H10/入力!F14), (計算!H10/入力!F14)*2))</f>
        <v>0</v>
      </c>
      <c r="I66" s="183">
        <f>IF(入力!G14&lt;=2,"-", IF(I8&lt;入力!$E$9, IF(I12=0,0,I10/入力!G14), (計算!I10/入力!G14)*2))+($O$65*$O$66)</f>
        <v>15.664380225994407</v>
      </c>
      <c r="K66" s="68">
        <f>G66*リスト!$B$9</f>
        <v>0</v>
      </c>
      <c r="L66" s="68">
        <f>H66*リスト!$B$9</f>
        <v>0</v>
      </c>
      <c r="M66" s="68">
        <f>I66*リスト!$B$9</f>
        <v>5.482533079098042</v>
      </c>
      <c r="O66" s="186">
        <v>2</v>
      </c>
      <c r="P66" s="175" t="s">
        <v>275</v>
      </c>
    </row>
    <row r="67" spans="1:23" x14ac:dyDescent="0.15">
      <c r="A67" s="79" t="s">
        <v>166</v>
      </c>
      <c r="B67" s="265" t="s">
        <v>231</v>
      </c>
      <c r="C67" s="75" t="str">
        <f>C64</f>
        <v>西側の妻住戸</v>
      </c>
      <c r="D67" s="75" t="s">
        <v>165</v>
      </c>
      <c r="E67" s="331" t="s">
        <v>215</v>
      </c>
      <c r="F67" s="64" t="s">
        <v>22</v>
      </c>
      <c r="G67" s="65">
        <f>IF(G8=1, 0, IF(G13=0, 0, IF(入力!E14=1, 計算!G10+(計算!G13/計算!G10)*2, 計算!G10/入力!E14+計算!G13/計算!G10)))</f>
        <v>0</v>
      </c>
      <c r="H67" s="65">
        <f>IF(H8=1, 0, IF(H13=0, 0, IF(入力!F14=1, 計算!H10+(計算!H13/計算!H10)*2, 計算!H10/入力!F14+計算!H13/計算!H10)))</f>
        <v>0</v>
      </c>
      <c r="I67" s="65">
        <f>IF(I8=1, 0, IF(I13=0, 0, IF(入力!G14=1, 計算!I10+(計算!I13/計算!I10)*2, 計算!I10/入力!G14+計算!I13/計算!I10)))</f>
        <v>0</v>
      </c>
      <c r="K67" s="65">
        <f>G67*リスト!$B$10</f>
        <v>0</v>
      </c>
      <c r="L67" s="65">
        <f>H67*リスト!$B$10</f>
        <v>0</v>
      </c>
      <c r="M67" s="65">
        <f>I67*リスト!$B$10</f>
        <v>0</v>
      </c>
    </row>
    <row r="68" spans="1:23" x14ac:dyDescent="0.15">
      <c r="A68" s="80" t="s">
        <v>167</v>
      </c>
      <c r="B68" s="290"/>
      <c r="C68" s="76" t="str">
        <f>C65</f>
        <v>東側の妻住戸</v>
      </c>
      <c r="D68" s="76" t="s">
        <v>165</v>
      </c>
      <c r="E68" s="332"/>
      <c r="F68" s="77" t="s">
        <v>22</v>
      </c>
      <c r="G68" s="72">
        <f>IF(入力!E14=1, "-", IF(G8=1, 0, IF(G13=0, 0, G10/入力!E14+計算!G13/計算!G10)))</f>
        <v>0</v>
      </c>
      <c r="H68" s="72">
        <f>IF(入力!F14=1, "-", IF(H8=1, 0, IF(H13=0, 0, H10/入力!F14+計算!H13/計算!H10)))</f>
        <v>0</v>
      </c>
      <c r="I68" s="72">
        <f>IF(入力!G14=1, "-", IF(I8=1, 0, IF(I13=0, 0, I10/入力!G14+計算!I13/計算!I10)))</f>
        <v>0</v>
      </c>
      <c r="K68" s="72">
        <f>G68*リスト!$B$10</f>
        <v>0</v>
      </c>
      <c r="L68" s="72">
        <f>H68*リスト!$B$10</f>
        <v>0</v>
      </c>
      <c r="M68" s="72">
        <f>I68*リスト!$B$10</f>
        <v>0</v>
      </c>
      <c r="O68" s="165"/>
    </row>
    <row r="69" spans="1:23" x14ac:dyDescent="0.15">
      <c r="A69" s="84" t="s">
        <v>168</v>
      </c>
      <c r="B69" s="292"/>
      <c r="C69" s="78" t="str">
        <f>C66</f>
        <v>中住戸</v>
      </c>
      <c r="D69" s="78" t="s">
        <v>165</v>
      </c>
      <c r="E69" s="333"/>
      <c r="F69" s="67" t="s">
        <v>22</v>
      </c>
      <c r="G69" s="68">
        <f>IF(入力!E14&lt;=2, "-", IF(G8=1, 0, IF(G13=0, 0, G10/入力!E14)))</f>
        <v>0</v>
      </c>
      <c r="H69" s="68">
        <f>IF(入力!F14&lt;=2, "-", IF(H8=1, 0, IF(H13=0, 0, H10/入力!F14)))</f>
        <v>0</v>
      </c>
      <c r="I69" s="68">
        <f>IF(入力!G14&lt;=2, "-", IF(I8=1, 0, IF(I13=0, 0, I10/入力!G14)))</f>
        <v>0</v>
      </c>
      <c r="K69" s="68">
        <f>G69*リスト!$B$10</f>
        <v>0</v>
      </c>
      <c r="L69" s="68">
        <f>H69*リスト!$B$10</f>
        <v>0</v>
      </c>
      <c r="M69" s="68">
        <f>I69*リスト!$B$10</f>
        <v>0</v>
      </c>
    </row>
    <row r="70" spans="1:23" x14ac:dyDescent="0.15">
      <c r="A70" s="315" t="s">
        <v>169</v>
      </c>
      <c r="B70" s="318" t="s">
        <v>232</v>
      </c>
      <c r="C70" s="318" t="str">
        <f>C52</f>
        <v>西側の妻住戸</v>
      </c>
      <c r="D70" s="75" t="str">
        <f>D52</f>
        <v>(南)</v>
      </c>
      <c r="E70" s="63" t="s">
        <v>216</v>
      </c>
      <c r="F70" s="64" t="s">
        <v>22</v>
      </c>
      <c r="G70" s="134">
        <f>IF(入力!E14=1, 0, $G$7/2)</f>
        <v>1.5166666666666666</v>
      </c>
      <c r="H70" s="134">
        <f>IF(入力!F14=1, 0, $G$7/2)</f>
        <v>1.5166666666666666</v>
      </c>
      <c r="I70" s="134">
        <f>IF(入力!G14=1, 0, $G$7/2)</f>
        <v>1.5166666666666666</v>
      </c>
      <c r="K70" s="65">
        <f>G70*リスト!$B$11</f>
        <v>0.98583333333333334</v>
      </c>
      <c r="L70" s="65">
        <f>H70*リスト!$B$11</f>
        <v>0.98583333333333334</v>
      </c>
      <c r="M70" s="65">
        <f>I70*リスト!$B$11</f>
        <v>0.98583333333333334</v>
      </c>
    </row>
    <row r="71" spans="1:23" x14ac:dyDescent="0.15">
      <c r="A71" s="316"/>
      <c r="B71" s="316"/>
      <c r="C71" s="320"/>
      <c r="D71" s="76" t="str">
        <f t="shared" ref="D71:D81" si="17">D53</f>
        <v>(西)</v>
      </c>
      <c r="E71" s="70" t="s">
        <v>217</v>
      </c>
      <c r="F71" s="77" t="s">
        <v>22</v>
      </c>
      <c r="G71" s="135">
        <f>$G$7*ROUNDDOWN(G11/20, 0)</f>
        <v>0</v>
      </c>
      <c r="H71" s="135">
        <f t="shared" ref="H71:I71" si="18">$G$7*ROUNDDOWN(H11/20, 0)</f>
        <v>0</v>
      </c>
      <c r="I71" s="135">
        <f t="shared" si="18"/>
        <v>0</v>
      </c>
      <c r="K71" s="72">
        <f>G71*リスト!$B$11</f>
        <v>0</v>
      </c>
      <c r="L71" s="72">
        <f>H71*リスト!$B$11</f>
        <v>0</v>
      </c>
      <c r="M71" s="72">
        <f>I71*リスト!$B$11</f>
        <v>0</v>
      </c>
    </row>
    <row r="72" spans="1:23" x14ac:dyDescent="0.15">
      <c r="A72" s="316"/>
      <c r="B72" s="316"/>
      <c r="C72" s="320"/>
      <c r="D72" s="172" t="str">
        <f t="shared" si="17"/>
        <v>(北)</v>
      </c>
      <c r="E72" s="184" t="s">
        <v>218</v>
      </c>
      <c r="F72" s="179" t="s">
        <v>22</v>
      </c>
      <c r="G72" s="180">
        <f>IF(入力!E14=1, 0, $G$7/2+$G$7*4)</f>
        <v>13.649999999999999</v>
      </c>
      <c r="H72" s="180">
        <f>IF(入力!F14=1, 0, $G$7/2+$G$7*4)</f>
        <v>13.649999999999999</v>
      </c>
      <c r="I72" s="180">
        <f>IF(入力!G14=1, 0, $G$7/2+$G$7*4)</f>
        <v>13.649999999999999</v>
      </c>
      <c r="K72" s="72">
        <f>G72*リスト!$B$11</f>
        <v>8.8724999999999987</v>
      </c>
      <c r="L72" s="72">
        <f>H72*リスト!$B$11</f>
        <v>8.8724999999999987</v>
      </c>
      <c r="M72" s="72">
        <f>I72*リスト!$B$11</f>
        <v>8.8724999999999987</v>
      </c>
    </row>
    <row r="73" spans="1:23" x14ac:dyDescent="0.15">
      <c r="A73" s="317"/>
      <c r="B73" s="316"/>
      <c r="C73" s="321"/>
      <c r="D73" s="114" t="str">
        <f t="shared" si="17"/>
        <v>(東)</v>
      </c>
      <c r="E73" s="115" t="s">
        <v>219</v>
      </c>
      <c r="F73" s="132" t="s">
        <v>22</v>
      </c>
      <c r="G73" s="137">
        <f>IF(入力!E14=1, $G$7*ROUNDDOWN(G11/20, 0), 0)</f>
        <v>0</v>
      </c>
      <c r="H73" s="137">
        <f>IF(入力!F14=1, $G$7*ROUNDDOWN(H11/20, 0), 0)</f>
        <v>0</v>
      </c>
      <c r="I73" s="137">
        <f>IF(入力!G14=1, $G$7*ROUNDDOWN(I11/20, 0), 0)</f>
        <v>0</v>
      </c>
      <c r="K73" s="117">
        <f>G73*リスト!$B$11</f>
        <v>0</v>
      </c>
      <c r="L73" s="117">
        <f>H73*リスト!$B$11</f>
        <v>0</v>
      </c>
      <c r="M73" s="117">
        <f>I73*リスト!$B$11</f>
        <v>0</v>
      </c>
    </row>
    <row r="74" spans="1:23" x14ac:dyDescent="0.15">
      <c r="A74" s="315" t="s">
        <v>170</v>
      </c>
      <c r="B74" s="316"/>
      <c r="C74" s="318" t="str">
        <f>C56</f>
        <v>東側の妻住戸</v>
      </c>
      <c r="D74" s="107" t="str">
        <f t="shared" si="17"/>
        <v>(南)</v>
      </c>
      <c r="E74" s="108" t="s">
        <v>216</v>
      </c>
      <c r="F74" s="64" t="s">
        <v>22</v>
      </c>
      <c r="G74" s="65">
        <f>IF(入力!E14=1, "-", $G$7/2)</f>
        <v>1.5166666666666666</v>
      </c>
      <c r="H74" s="65">
        <f>IF(入力!F14=1, "-", $G$7/2)</f>
        <v>1.5166666666666666</v>
      </c>
      <c r="I74" s="65">
        <f>IF(入力!G14=1, "-", $G$7/2)</f>
        <v>1.5166666666666666</v>
      </c>
      <c r="J74" s="124"/>
      <c r="K74" s="65">
        <f>G74*リスト!$B$11</f>
        <v>0.98583333333333334</v>
      </c>
      <c r="L74" s="65">
        <f>H74*リスト!$B$11</f>
        <v>0.98583333333333334</v>
      </c>
      <c r="M74" s="65">
        <f>I74*リスト!$B$11</f>
        <v>0.98583333333333334</v>
      </c>
    </row>
    <row r="75" spans="1:23" x14ac:dyDescent="0.15">
      <c r="A75" s="316"/>
      <c r="B75" s="316"/>
      <c r="C75" s="320"/>
      <c r="D75" s="110" t="str">
        <f t="shared" si="17"/>
        <v>(西)</v>
      </c>
      <c r="E75" s="70" t="s">
        <v>217</v>
      </c>
      <c r="F75" s="77" t="s">
        <v>22</v>
      </c>
      <c r="G75" s="72">
        <f>IF(入力!E14=1, "-", 0)</f>
        <v>0</v>
      </c>
      <c r="H75" s="72">
        <f>IF(入力!F14=1, "-", 0)</f>
        <v>0</v>
      </c>
      <c r="I75" s="72">
        <f>IF(入力!G14=1, "-", 0)</f>
        <v>0</v>
      </c>
      <c r="J75" s="125"/>
      <c r="K75" s="72">
        <f>G75*リスト!$B$11</f>
        <v>0</v>
      </c>
      <c r="L75" s="72">
        <f>H75*リスト!$B$11</f>
        <v>0</v>
      </c>
      <c r="M75" s="72">
        <f>I75*リスト!$B$11</f>
        <v>0</v>
      </c>
    </row>
    <row r="76" spans="1:23" x14ac:dyDescent="0.15">
      <c r="A76" s="316"/>
      <c r="B76" s="316"/>
      <c r="C76" s="320"/>
      <c r="D76" s="172" t="str">
        <f t="shared" si="17"/>
        <v>(北)</v>
      </c>
      <c r="E76" s="184" t="s">
        <v>218</v>
      </c>
      <c r="F76" s="179" t="s">
        <v>22</v>
      </c>
      <c r="G76" s="180">
        <f>IF(入力!E14=1, "-", $G$7/2+$G$7*4)</f>
        <v>13.649999999999999</v>
      </c>
      <c r="H76" s="180">
        <f>IF(入力!F14=1, "-", $G$7/2+$G$7*4)</f>
        <v>13.649999999999999</v>
      </c>
      <c r="I76" s="180">
        <f>IF(入力!G14=1, "-", $G$7/2+$G$7*4)</f>
        <v>13.649999999999999</v>
      </c>
      <c r="J76" s="125"/>
      <c r="K76" s="72">
        <f>G76*リスト!$B$11</f>
        <v>8.8724999999999987</v>
      </c>
      <c r="L76" s="72">
        <f>H76*リスト!$B$11</f>
        <v>8.8724999999999987</v>
      </c>
      <c r="M76" s="72">
        <f>I76*リスト!$B$11</f>
        <v>8.8724999999999987</v>
      </c>
      <c r="O76" s="48"/>
      <c r="P76" s="48"/>
      <c r="Q76" s="48"/>
      <c r="R76" s="48"/>
      <c r="S76" s="48"/>
      <c r="T76" s="48"/>
      <c r="U76" s="48"/>
      <c r="V76" s="48"/>
      <c r="W76" s="48"/>
    </row>
    <row r="77" spans="1:23" x14ac:dyDescent="0.15">
      <c r="A77" s="319"/>
      <c r="B77" s="316"/>
      <c r="C77" s="322"/>
      <c r="D77" s="113" t="str">
        <f t="shared" si="17"/>
        <v>(東)</v>
      </c>
      <c r="E77" s="66" t="s">
        <v>219</v>
      </c>
      <c r="F77" s="67" t="s">
        <v>22</v>
      </c>
      <c r="G77" s="68">
        <f>IF(入力!E14=1, "-", $G$7*ROUNDDOWN(G11/20,0))</f>
        <v>0</v>
      </c>
      <c r="H77" s="68">
        <f>IF(入力!F14=1, "-", $G$7*ROUNDDOWN(H11/20,0))</f>
        <v>0</v>
      </c>
      <c r="I77" s="68">
        <f>IF(入力!G14=1, "-", $G$7*ROUNDDOWN(I11/20,0))</f>
        <v>0</v>
      </c>
      <c r="J77" s="126"/>
      <c r="K77" s="68">
        <f>G77*リスト!$B$11</f>
        <v>0</v>
      </c>
      <c r="L77" s="68">
        <f>H77*リスト!$B$11</f>
        <v>0</v>
      </c>
      <c r="M77" s="68">
        <f>I77*リスト!$B$11</f>
        <v>0</v>
      </c>
      <c r="O77" s="48"/>
      <c r="P77" s="48"/>
      <c r="Q77" s="48"/>
      <c r="R77" s="48"/>
      <c r="S77" s="48"/>
      <c r="T77" s="48"/>
      <c r="U77" s="48"/>
      <c r="V77" s="48"/>
      <c r="W77" s="48"/>
    </row>
    <row r="78" spans="1:23" x14ac:dyDescent="0.15">
      <c r="A78" s="323" t="s">
        <v>171</v>
      </c>
      <c r="B78" s="316"/>
      <c r="C78" s="324" t="str">
        <f>C60</f>
        <v>中住戸</v>
      </c>
      <c r="D78" s="119" t="str">
        <f t="shared" si="17"/>
        <v>(南)</v>
      </c>
      <c r="E78" s="120" t="s">
        <v>216</v>
      </c>
      <c r="F78" s="133" t="s">
        <v>22</v>
      </c>
      <c r="G78" s="122">
        <f>IF(入力!E14&lt;=2, "-", $G$7)</f>
        <v>3.0333333333333332</v>
      </c>
      <c r="H78" s="122">
        <f>IF(入力!F14&lt;=2, "-", $G$7)</f>
        <v>3.0333333333333332</v>
      </c>
      <c r="I78" s="122">
        <f>IF(入力!G14&lt;=2, "-", $G$7)</f>
        <v>3.0333333333333332</v>
      </c>
      <c r="K78" s="122">
        <f>G78*リスト!$B$11</f>
        <v>1.9716666666666667</v>
      </c>
      <c r="L78" s="122">
        <f>H78*リスト!$B$11</f>
        <v>1.9716666666666667</v>
      </c>
      <c r="M78" s="122">
        <f>I78*リスト!$B$11</f>
        <v>1.9716666666666667</v>
      </c>
      <c r="O78" s="48"/>
      <c r="P78" s="48"/>
      <c r="Q78" s="48"/>
      <c r="R78" s="48"/>
      <c r="S78" s="48"/>
      <c r="T78" s="48"/>
      <c r="U78" s="48"/>
      <c r="V78" s="48"/>
      <c r="W78" s="48"/>
    </row>
    <row r="79" spans="1:23" x14ac:dyDescent="0.15">
      <c r="A79" s="316"/>
      <c r="B79" s="316"/>
      <c r="C79" s="320"/>
      <c r="D79" s="76" t="str">
        <f t="shared" si="17"/>
        <v>(西)</v>
      </c>
      <c r="E79" s="70" t="s">
        <v>217</v>
      </c>
      <c r="F79" s="77" t="s">
        <v>22</v>
      </c>
      <c r="G79" s="72">
        <f>IF(入力!E14&lt;=2, "-", 0)</f>
        <v>0</v>
      </c>
      <c r="H79" s="72">
        <f>IF(入力!F14&lt;=2, "-", 0)</f>
        <v>0</v>
      </c>
      <c r="I79" s="72">
        <f>IF(入力!G14&lt;=2, "-", 0)</f>
        <v>0</v>
      </c>
      <c r="K79" s="72">
        <f>G79*リスト!$B$11</f>
        <v>0</v>
      </c>
      <c r="L79" s="72">
        <f>H79*リスト!$B$11</f>
        <v>0</v>
      </c>
      <c r="M79" s="72">
        <f>I79*リスト!$B$11</f>
        <v>0</v>
      </c>
      <c r="O79" s="48"/>
      <c r="P79" s="48"/>
      <c r="Q79" s="48"/>
      <c r="R79" s="48"/>
      <c r="S79" s="48"/>
      <c r="T79" s="48"/>
      <c r="U79" s="48"/>
      <c r="V79" s="48"/>
      <c r="W79" s="48"/>
    </row>
    <row r="80" spans="1:23" x14ac:dyDescent="0.15">
      <c r="A80" s="316"/>
      <c r="B80" s="316"/>
      <c r="C80" s="320"/>
      <c r="D80" s="172" t="str">
        <f t="shared" si="17"/>
        <v>(北)</v>
      </c>
      <c r="E80" s="184" t="s">
        <v>218</v>
      </c>
      <c r="F80" s="179" t="s">
        <v>22</v>
      </c>
      <c r="G80" s="180">
        <f>IF(入力!E14&lt;=2, "-", $G$7+$G$7*4)</f>
        <v>15.166666666666666</v>
      </c>
      <c r="H80" s="180">
        <f>IF(入力!F14&lt;=2, "-", $G$7+$G$7*4)</f>
        <v>15.166666666666666</v>
      </c>
      <c r="I80" s="180">
        <f>IF(入力!G14&lt;=2, "-", $G$7+$G$7*4)</f>
        <v>15.166666666666666</v>
      </c>
      <c r="K80" s="72">
        <f>G80*リスト!$B$11</f>
        <v>9.8583333333333325</v>
      </c>
      <c r="L80" s="72">
        <f>H80*リスト!$B$11</f>
        <v>9.8583333333333325</v>
      </c>
      <c r="M80" s="72">
        <f>I80*リスト!$B$11</f>
        <v>9.8583333333333325</v>
      </c>
      <c r="O80" s="48"/>
      <c r="P80" s="48"/>
      <c r="Q80" s="48"/>
      <c r="R80" s="48"/>
      <c r="S80" s="48"/>
      <c r="T80" s="48"/>
      <c r="U80" s="48"/>
      <c r="V80" s="48"/>
      <c r="W80" s="48"/>
    </row>
    <row r="81" spans="1:23" x14ac:dyDescent="0.15">
      <c r="A81" s="319"/>
      <c r="B81" s="319"/>
      <c r="C81" s="322"/>
      <c r="D81" s="78" t="str">
        <f t="shared" si="17"/>
        <v>(東)</v>
      </c>
      <c r="E81" s="66" t="s">
        <v>219</v>
      </c>
      <c r="F81" s="67" t="s">
        <v>22</v>
      </c>
      <c r="G81" s="68">
        <f>IF(入力!E14&lt;=2, "-", 0)</f>
        <v>0</v>
      </c>
      <c r="H81" s="68">
        <f>IF(入力!F14&lt;=2, "-", 0)</f>
        <v>0</v>
      </c>
      <c r="I81" s="68">
        <f>IF(入力!G14&lt;=2, "-", 0)</f>
        <v>0</v>
      </c>
      <c r="K81" s="68">
        <f>G81*リスト!$B$11</f>
        <v>0</v>
      </c>
      <c r="L81" s="68">
        <f>H81*リスト!$B$11</f>
        <v>0</v>
      </c>
      <c r="M81" s="68">
        <f>I81*リスト!$B$11</f>
        <v>0</v>
      </c>
      <c r="O81" s="48"/>
      <c r="P81" s="48"/>
      <c r="Q81" s="48"/>
      <c r="R81" s="48"/>
      <c r="S81" s="48"/>
      <c r="T81" s="48"/>
      <c r="U81" s="48"/>
      <c r="V81" s="48"/>
      <c r="W81" s="48"/>
    </row>
    <row r="82" spans="1:23" x14ac:dyDescent="0.15">
      <c r="A82" s="79" t="s">
        <v>172</v>
      </c>
      <c r="B82" s="265" t="s">
        <v>233</v>
      </c>
      <c r="C82" s="75" t="str">
        <f>C70</f>
        <v>西側の妻住戸</v>
      </c>
      <c r="D82" s="75" t="s">
        <v>165</v>
      </c>
      <c r="E82" s="331" t="s">
        <v>220</v>
      </c>
      <c r="F82" s="64" t="s">
        <v>22</v>
      </c>
      <c r="G82" s="65">
        <f>IF(計算!G8&lt;入力!$E$9, IF(G12=0, 0, IF(入力!E14=1, 0, (G12/G10)/2)), IF(入力!E14=1, 計算!G10*ROUNDDOWN(計算!G11/20, 0), 計算!G11/2+(計算!G10/入力!E14)*ROUNDDOWN(計算!G11/20, 0)))</f>
        <v>0</v>
      </c>
      <c r="H82" s="65">
        <f>IF(計算!H8&lt;入力!$E$9, IF(H12=0, 0, IF(入力!F14=1, 0, (H12/H10)/2)), IF(入力!F14=1, 計算!H10*ROUNDDOWN(計算!H11/20, 0), 計算!H11/2+(計算!H10/入力!F14)*ROUNDDOWN(計算!H11/20, 0)))</f>
        <v>0</v>
      </c>
      <c r="I82" s="65">
        <f>IF(計算!I8&lt;入力!$E$9, IF(I12=0, 0, IF(入力!G14=1, 0, (I12/I10)/2)), IF(入力!G14=1, 計算!I10*ROUNDDOWN(計算!I11/20, 0), 計算!I11/2+(計算!I10/入力!G14)*ROUNDDOWN(計算!I11/20, 0)))</f>
        <v>2.9756197740055947</v>
      </c>
      <c r="K82" s="65">
        <f>G82*リスト!$B$12</f>
        <v>0</v>
      </c>
      <c r="L82" s="65">
        <f>H82*リスト!$B$12</f>
        <v>0</v>
      </c>
      <c r="M82" s="65">
        <f>I82*リスト!$B$12</f>
        <v>0</v>
      </c>
      <c r="O82" s="48"/>
      <c r="P82" s="48"/>
      <c r="Q82" s="48"/>
      <c r="R82" s="48"/>
      <c r="S82" s="48"/>
      <c r="T82" s="48"/>
      <c r="U82" s="48"/>
      <c r="V82" s="48"/>
      <c r="W82" s="48"/>
    </row>
    <row r="83" spans="1:23" x14ac:dyDescent="0.15">
      <c r="A83" s="80" t="s">
        <v>173</v>
      </c>
      <c r="B83" s="290"/>
      <c r="C83" s="76" t="str">
        <f t="shared" ref="C83" si="19">C74</f>
        <v>東側の妻住戸</v>
      </c>
      <c r="D83" s="76" t="s">
        <v>165</v>
      </c>
      <c r="E83" s="332"/>
      <c r="F83" s="77" t="s">
        <v>22</v>
      </c>
      <c r="G83" s="72">
        <f>IF(入力!E14=1, "-", IF(G8&lt;入力!$E$9, IF(G12=0, 0, (G12/G10)/2), 計算!G11/2+(計算!G10/入力!E14)*ROUNDDOWN(計算!G11/20, 0)))</f>
        <v>0</v>
      </c>
      <c r="H83" s="72">
        <f>IF(入力!F14=1, "-", IF(H8&lt;入力!$E$9, IF(H12=0, 0, (H12/H10)/2), 計算!H11/2+(計算!H10/入力!F14)*ROUNDDOWN(計算!H11/20, 0)))</f>
        <v>0</v>
      </c>
      <c r="I83" s="72">
        <f>IF(入力!G14=1, "-", IF(I8&lt;入力!$E$9, IF(I12=0, 0, (I12/I10)/2), 計算!I11/2+(計算!I10/入力!G14)*ROUNDDOWN(計算!I11/20, 0)))</f>
        <v>2.9756197740055947</v>
      </c>
      <c r="K83" s="72">
        <f>G83*リスト!$B$12</f>
        <v>0</v>
      </c>
      <c r="L83" s="72">
        <f>H83*リスト!$B$12</f>
        <v>0</v>
      </c>
      <c r="M83" s="72">
        <f>I83*リスト!$B$12</f>
        <v>0</v>
      </c>
      <c r="O83" s="48"/>
      <c r="P83" s="48"/>
      <c r="Q83" s="48"/>
      <c r="R83" s="48"/>
      <c r="S83" s="48"/>
      <c r="T83" s="48"/>
      <c r="U83" s="48"/>
      <c r="V83" s="48"/>
      <c r="W83" s="48"/>
    </row>
    <row r="84" spans="1:23" x14ac:dyDescent="0.15">
      <c r="A84" s="84" t="s">
        <v>174</v>
      </c>
      <c r="B84" s="292"/>
      <c r="C84" s="78" t="str">
        <f t="shared" ref="C84" si="20">C78</f>
        <v>中住戸</v>
      </c>
      <c r="D84" s="78" t="s">
        <v>165</v>
      </c>
      <c r="E84" s="333"/>
      <c r="F84" s="67" t="s">
        <v>22</v>
      </c>
      <c r="G84" s="68">
        <f>IF(入力!E14&lt;=2, "-", IF(G8&lt;入力!$E$9, IF(G12=0, 0, G12/G10), 計算!G11+(計算!G10/入力!E14)*ROUNDDOWN(計算!G11/20, 0)))</f>
        <v>0</v>
      </c>
      <c r="H84" s="68">
        <f>IF(入力!F14&lt;=2, "-", IF(H8&lt;入力!$E$9, IF(H12=0, 0, H12/H10), 計算!H11+(計算!H10/入力!F14)*ROUNDDOWN(計算!H11/20, 0)))</f>
        <v>0</v>
      </c>
      <c r="I84" s="68">
        <f>IF(入力!G14&lt;=2, "-", IF(I8&lt;入力!$E$9, IF(I12=0, 0, I12/I10), 計算!I11+(計算!I10/入力!G14)*ROUNDDOWN(計算!I11/20, 0)))</f>
        <v>5.9512395480111895</v>
      </c>
      <c r="K84" s="68">
        <f>G84*リスト!$B$12</f>
        <v>0</v>
      </c>
      <c r="L84" s="68">
        <f>H84*リスト!$B$12</f>
        <v>0</v>
      </c>
      <c r="M84" s="68">
        <f>I84*リスト!$B$12</f>
        <v>0</v>
      </c>
      <c r="O84" s="48"/>
      <c r="P84" s="48"/>
      <c r="Q84" s="48"/>
      <c r="R84" s="48"/>
      <c r="S84" s="48"/>
      <c r="T84" s="48"/>
      <c r="U84" s="48"/>
      <c r="V84" s="48"/>
      <c r="W84" s="48"/>
    </row>
    <row r="85" spans="1:23" x14ac:dyDescent="0.15">
      <c r="A85" s="303" t="s">
        <v>175</v>
      </c>
      <c r="B85" s="306" t="s">
        <v>258</v>
      </c>
      <c r="C85" s="308" t="str">
        <f>C70</f>
        <v>西側の妻住戸</v>
      </c>
      <c r="D85" s="187" t="str">
        <f>D70</f>
        <v>(南)</v>
      </c>
      <c r="E85" s="188" t="s">
        <v>236</v>
      </c>
      <c r="F85" s="144" t="s">
        <v>22</v>
      </c>
      <c r="G85" s="145">
        <f>IF(計算!H$13=0, 計算!G$10/入力!E$14/2, 0)</f>
        <v>3.4160950564986017</v>
      </c>
      <c r="H85" s="145">
        <f>IF(I$13=0, IF(G$12=0, H$10/入力!F$14, H$10/入力!F$14/2), IF(G$12=0, H$10/入力!F$14/2, 0))</f>
        <v>6.8321901129972034</v>
      </c>
      <c r="I85" s="145">
        <f>IF(H$12=0, I$10/入力!G$14/2, 0)</f>
        <v>3.4160950564986017</v>
      </c>
      <c r="J85" s="146"/>
      <c r="K85" s="145">
        <f>G85*リスト!$B$13</f>
        <v>2.220461786724091</v>
      </c>
      <c r="L85" s="145">
        <f>H85*リスト!$B$13</f>
        <v>4.440923573448182</v>
      </c>
      <c r="M85" s="145">
        <f>I85*リスト!$B$13</f>
        <v>2.220461786724091</v>
      </c>
      <c r="O85" s="175" t="s">
        <v>273</v>
      </c>
      <c r="P85" s="175"/>
      <c r="Q85" s="48"/>
      <c r="R85" s="48"/>
      <c r="S85" s="48"/>
      <c r="T85" s="48"/>
      <c r="U85" s="48"/>
      <c r="V85" s="48"/>
      <c r="W85" s="48"/>
    </row>
    <row r="86" spans="1:23" ht="12" customHeight="1" x14ac:dyDescent="0.15">
      <c r="A86" s="304"/>
      <c r="B86" s="304"/>
      <c r="C86" s="309"/>
      <c r="D86" s="189" t="str">
        <f>D71</f>
        <v>(西)</v>
      </c>
      <c r="E86" s="190" t="s">
        <v>237</v>
      </c>
      <c r="F86" s="197" t="s">
        <v>22</v>
      </c>
      <c r="G86" s="185">
        <f>G$11/2+$O$86/2</f>
        <v>3.4756197740055947</v>
      </c>
      <c r="H86" s="185">
        <f>H$11+$O$86</f>
        <v>6.9512395480111895</v>
      </c>
      <c r="I86" s="185">
        <f>I$11/2+$O$86/2</f>
        <v>3.4756197740055947</v>
      </c>
      <c r="J86" s="146"/>
      <c r="K86" s="149">
        <f>G86*リスト!$B$13</f>
        <v>2.2591528531036364</v>
      </c>
      <c r="L86" s="149">
        <f>H86*リスト!$B$13</f>
        <v>4.5183057062072729</v>
      </c>
      <c r="M86" s="149">
        <f>I86*リスト!$B$13</f>
        <v>2.2591528531036364</v>
      </c>
      <c r="O86" s="186">
        <v>1</v>
      </c>
      <c r="P86" s="175" t="s">
        <v>274</v>
      </c>
      <c r="Q86" s="48"/>
      <c r="R86" s="48"/>
      <c r="S86" s="48"/>
      <c r="T86" s="48"/>
      <c r="U86" s="48"/>
      <c r="V86" s="48"/>
      <c r="W86" s="48"/>
    </row>
    <row r="87" spans="1:23" ht="12" customHeight="1" x14ac:dyDescent="0.15">
      <c r="A87" s="304"/>
      <c r="B87" s="304"/>
      <c r="C87" s="309"/>
      <c r="D87" s="189" t="str">
        <f t="shared" ref="D87:D88" si="21">D72</f>
        <v>(北)</v>
      </c>
      <c r="E87" s="190" t="s">
        <v>238</v>
      </c>
      <c r="F87" s="148" t="s">
        <v>22</v>
      </c>
      <c r="G87" s="149">
        <f>G$10/2/入力!E$14</f>
        <v>3.4160950564986017</v>
      </c>
      <c r="H87" s="149">
        <f>H$10/入力!F$14</f>
        <v>6.8321901129972034</v>
      </c>
      <c r="I87" s="149">
        <f>I$10/2/入力!G$14</f>
        <v>3.4160950564986017</v>
      </c>
      <c r="J87" s="146"/>
      <c r="K87" s="149">
        <f>G87*リスト!$B$13</f>
        <v>2.220461786724091</v>
      </c>
      <c r="L87" s="149">
        <f>H87*リスト!$B$13</f>
        <v>4.440923573448182</v>
      </c>
      <c r="M87" s="149">
        <f>I87*リスト!$B$13</f>
        <v>2.220461786724091</v>
      </c>
      <c r="O87" s="48"/>
      <c r="P87" s="48"/>
      <c r="Q87" s="48"/>
      <c r="R87" s="48"/>
      <c r="S87" s="48"/>
      <c r="T87" s="48"/>
      <c r="U87" s="48"/>
      <c r="V87" s="48"/>
      <c r="W87" s="48"/>
    </row>
    <row r="88" spans="1:23" ht="12" customHeight="1" x14ac:dyDescent="0.15">
      <c r="A88" s="305"/>
      <c r="B88" s="304"/>
      <c r="C88" s="310"/>
      <c r="D88" s="191" t="str">
        <f t="shared" si="21"/>
        <v>(東)</v>
      </c>
      <c r="E88" s="192" t="s">
        <v>239</v>
      </c>
      <c r="F88" s="198" t="s">
        <v>22</v>
      </c>
      <c r="G88" s="199">
        <f>IF(入力!E$14=1, 計算!G$11/2, 0)+$O$86/2</f>
        <v>0.5</v>
      </c>
      <c r="H88" s="199">
        <f>IF(入力!F$14=1, 計算!H$11/2, 0)+$O$86</f>
        <v>1</v>
      </c>
      <c r="I88" s="199">
        <f>IF(入力!G$14=1, 計算!I$11/2, 0)+$O$86/2</f>
        <v>0.5</v>
      </c>
      <c r="J88" s="146"/>
      <c r="K88" s="150">
        <f>G88*リスト!$B$13</f>
        <v>0.32500000000000001</v>
      </c>
      <c r="L88" s="150">
        <f>H88*リスト!$B$13</f>
        <v>0.65</v>
      </c>
      <c r="M88" s="150">
        <f>I88*リスト!$B$13</f>
        <v>0.32500000000000001</v>
      </c>
      <c r="O88" s="48"/>
      <c r="P88" s="48"/>
      <c r="Q88" s="48"/>
      <c r="R88" s="48"/>
      <c r="S88" s="48"/>
      <c r="T88" s="48"/>
      <c r="U88" s="48"/>
      <c r="V88" s="48"/>
      <c r="W88" s="48"/>
    </row>
    <row r="89" spans="1:23" x14ac:dyDescent="0.15">
      <c r="A89" s="303" t="s">
        <v>176</v>
      </c>
      <c r="B89" s="304"/>
      <c r="C89" s="308" t="str">
        <f>C74</f>
        <v>東側の妻住戸</v>
      </c>
      <c r="D89" s="187" t="str">
        <f t="shared" ref="D89:E96" si="22">D85</f>
        <v>(南)</v>
      </c>
      <c r="E89" s="188" t="str">
        <f t="shared" si="22"/>
        <v>l_(ψ2h,f1,i,j=0)</v>
      </c>
      <c r="F89" s="144" t="s">
        <v>22</v>
      </c>
      <c r="G89" s="145">
        <f>IF(計算!H$13=0, 計算!G$10/入力!E$14/2, 0)</f>
        <v>3.4160950564986017</v>
      </c>
      <c r="H89" s="145">
        <f>IF(I$13=0, IF(G$12=0, H$10/入力!F$14, H$10/入力!F$14/2), IF(G$12=0, H$10/入力!F$14/2, 0))</f>
        <v>6.8321901129972034</v>
      </c>
      <c r="I89" s="145">
        <f>IF(H$12=0, I$10/入力!G$14/2, 0)</f>
        <v>3.4160950564986017</v>
      </c>
      <c r="J89" s="151"/>
      <c r="K89" s="145">
        <f>G89*リスト!$B$13</f>
        <v>2.220461786724091</v>
      </c>
      <c r="L89" s="145">
        <f>H89*リスト!$B$13</f>
        <v>4.440923573448182</v>
      </c>
      <c r="M89" s="145">
        <f>I89*リスト!$B$13</f>
        <v>2.220461786724091</v>
      </c>
      <c r="O89" s="48"/>
      <c r="P89" s="48"/>
      <c r="Q89" s="48"/>
      <c r="R89" s="48"/>
      <c r="S89" s="48"/>
      <c r="T89" s="48"/>
      <c r="U89" s="48"/>
      <c r="V89" s="48"/>
      <c r="W89" s="48"/>
    </row>
    <row r="90" spans="1:23" x14ac:dyDescent="0.15">
      <c r="A90" s="304"/>
      <c r="B90" s="304"/>
      <c r="C90" s="309"/>
      <c r="D90" s="189" t="str">
        <f t="shared" si="22"/>
        <v>(西)</v>
      </c>
      <c r="E90" s="190" t="str">
        <f t="shared" si="22"/>
        <v>l_(ψ2h,f1,i,j=90)</v>
      </c>
      <c r="F90" s="197" t="s">
        <v>22</v>
      </c>
      <c r="G90" s="185">
        <f>0+$O$86/2</f>
        <v>0.5</v>
      </c>
      <c r="H90" s="185">
        <f>0+$O$86</f>
        <v>1</v>
      </c>
      <c r="I90" s="185">
        <f>0+$O$86/2</f>
        <v>0.5</v>
      </c>
      <c r="J90" s="146"/>
      <c r="K90" s="149">
        <f>G90*リスト!$B$13</f>
        <v>0.32500000000000001</v>
      </c>
      <c r="L90" s="149">
        <f>H90*リスト!$B$13</f>
        <v>0.65</v>
      </c>
      <c r="M90" s="149">
        <f>I90*リスト!$B$13</f>
        <v>0.32500000000000001</v>
      </c>
      <c r="O90" s="48"/>
      <c r="P90" s="48"/>
      <c r="Q90" s="48"/>
      <c r="R90" s="48"/>
      <c r="S90" s="48"/>
      <c r="T90" s="48"/>
      <c r="U90" s="48"/>
      <c r="V90" s="48"/>
      <c r="W90" s="48"/>
    </row>
    <row r="91" spans="1:23" x14ac:dyDescent="0.15">
      <c r="A91" s="304"/>
      <c r="B91" s="304"/>
      <c r="C91" s="309"/>
      <c r="D91" s="189" t="str">
        <f t="shared" si="22"/>
        <v>(北)</v>
      </c>
      <c r="E91" s="190" t="str">
        <f t="shared" si="22"/>
        <v>l_(ψ2h,f1,i,j=180)</v>
      </c>
      <c r="F91" s="148" t="s">
        <v>22</v>
      </c>
      <c r="G91" s="149">
        <f>G$10/2/入力!E$14</f>
        <v>3.4160950564986017</v>
      </c>
      <c r="H91" s="149">
        <f>H$10/入力!F$14</f>
        <v>6.8321901129972034</v>
      </c>
      <c r="I91" s="149">
        <f>I$10/2/入力!G$14</f>
        <v>3.4160950564986017</v>
      </c>
      <c r="J91" s="146"/>
      <c r="K91" s="149">
        <f>G91*リスト!$B$13</f>
        <v>2.220461786724091</v>
      </c>
      <c r="L91" s="149">
        <f>H91*リスト!$B$13</f>
        <v>4.440923573448182</v>
      </c>
      <c r="M91" s="149">
        <f>I91*リスト!$B$13</f>
        <v>2.220461786724091</v>
      </c>
      <c r="O91" s="48"/>
      <c r="P91" s="48"/>
      <c r="Q91" s="48"/>
      <c r="R91" s="48"/>
      <c r="S91" s="48"/>
      <c r="T91" s="48"/>
      <c r="U91" s="48"/>
      <c r="V91" s="48"/>
      <c r="W91" s="48"/>
    </row>
    <row r="92" spans="1:23" x14ac:dyDescent="0.15">
      <c r="A92" s="307"/>
      <c r="B92" s="304"/>
      <c r="C92" s="311"/>
      <c r="D92" s="193" t="str">
        <f t="shared" si="22"/>
        <v>(東)</v>
      </c>
      <c r="E92" s="194" t="str">
        <f t="shared" si="22"/>
        <v>l_(ψ2h,f1,i,j=270)</v>
      </c>
      <c r="F92" s="200" t="s">
        <v>22</v>
      </c>
      <c r="G92" s="201">
        <f>IF(入力!E$14=1, 0, 計算!G$11/2)+$O$86/2</f>
        <v>3.4756197740055947</v>
      </c>
      <c r="H92" s="201">
        <f>IF(入力!F$14=1, 0, 計算!H$11)+$O$86</f>
        <v>6.9512395480111895</v>
      </c>
      <c r="I92" s="201">
        <f>IF(入力!G$14=1, 0, 計算!I$11/2)+$O$86/2</f>
        <v>3.4756197740055947</v>
      </c>
      <c r="J92" s="155"/>
      <c r="K92" s="154">
        <f>G92*リスト!$B$13</f>
        <v>2.2591528531036364</v>
      </c>
      <c r="L92" s="154">
        <f>H92*リスト!$B$13</f>
        <v>4.5183057062072729</v>
      </c>
      <c r="M92" s="154">
        <f>I92*リスト!$B$13</f>
        <v>2.2591528531036364</v>
      </c>
      <c r="O92" s="48"/>
      <c r="P92" s="48"/>
      <c r="Q92" s="48"/>
      <c r="R92" s="48"/>
      <c r="S92" s="48"/>
      <c r="T92" s="48"/>
      <c r="U92" s="48"/>
      <c r="V92" s="48"/>
      <c r="W92" s="48"/>
    </row>
    <row r="93" spans="1:23" x14ac:dyDescent="0.15">
      <c r="A93" s="303" t="s">
        <v>177</v>
      </c>
      <c r="B93" s="304"/>
      <c r="C93" s="313" t="str">
        <f>C78</f>
        <v>中住戸</v>
      </c>
      <c r="D93" s="195" t="str">
        <f t="shared" si="22"/>
        <v>(南)</v>
      </c>
      <c r="E93" s="196" t="str">
        <f t="shared" si="22"/>
        <v>l_(ψ2h,f1,i,j=0)</v>
      </c>
      <c r="F93" s="156" t="s">
        <v>22</v>
      </c>
      <c r="G93" s="157">
        <f>IF(計算!H$13=0, 計算!G$10/入力!E$14/2, 0)</f>
        <v>3.4160950564986017</v>
      </c>
      <c r="H93" s="157">
        <f>IF(I$13=0, IF(G$12=0, H$10/入力!F$14, H$10/入力!F$14/2), IF(G$12=0, H$10/入力!F$14/2, 0))</f>
        <v>6.8321901129972034</v>
      </c>
      <c r="I93" s="157">
        <f>IF(H$12=0, I$10/入力!G$14/2, 0)</f>
        <v>3.4160950564986017</v>
      </c>
      <c r="J93" s="146"/>
      <c r="K93" s="157">
        <f>G93*リスト!$B$13</f>
        <v>2.220461786724091</v>
      </c>
      <c r="L93" s="157">
        <f>H93*リスト!$B$13</f>
        <v>4.440923573448182</v>
      </c>
      <c r="M93" s="157">
        <f>I93*リスト!$B$13</f>
        <v>2.220461786724091</v>
      </c>
      <c r="O93" s="48"/>
      <c r="P93" s="48"/>
      <c r="Q93" s="48"/>
      <c r="R93" s="48"/>
      <c r="S93" s="48"/>
      <c r="T93" s="48"/>
      <c r="U93" s="48"/>
      <c r="V93" s="48"/>
      <c r="W93" s="48"/>
    </row>
    <row r="94" spans="1:23" x14ac:dyDescent="0.15">
      <c r="A94" s="312"/>
      <c r="B94" s="304"/>
      <c r="C94" s="314"/>
      <c r="D94" s="189" t="str">
        <f t="shared" si="22"/>
        <v>(西)</v>
      </c>
      <c r="E94" s="190" t="str">
        <f t="shared" si="22"/>
        <v>l_(ψ2h,f1,i,j=90)</v>
      </c>
      <c r="F94" s="197" t="s">
        <v>22</v>
      </c>
      <c r="G94" s="185">
        <f>0+$O$86/2</f>
        <v>0.5</v>
      </c>
      <c r="H94" s="185">
        <f>0+$O$86</f>
        <v>1</v>
      </c>
      <c r="I94" s="185">
        <f>0+$O$86/2</f>
        <v>0.5</v>
      </c>
      <c r="J94" s="146"/>
      <c r="K94" s="149">
        <f>G94*リスト!$B$13</f>
        <v>0.32500000000000001</v>
      </c>
      <c r="L94" s="149">
        <f>H94*リスト!$B$13</f>
        <v>0.65</v>
      </c>
      <c r="M94" s="149">
        <f>I94*リスト!$B$13</f>
        <v>0.32500000000000001</v>
      </c>
      <c r="O94" s="48"/>
      <c r="P94" s="48"/>
      <c r="Q94" s="48"/>
      <c r="R94" s="48"/>
      <c r="S94" s="48"/>
      <c r="T94" s="48"/>
      <c r="U94" s="48"/>
      <c r="V94" s="48"/>
      <c r="W94" s="48"/>
    </row>
    <row r="95" spans="1:23" x14ac:dyDescent="0.15">
      <c r="A95" s="304"/>
      <c r="B95" s="304"/>
      <c r="C95" s="309"/>
      <c r="D95" s="189" t="str">
        <f t="shared" si="22"/>
        <v>(北)</v>
      </c>
      <c r="E95" s="190" t="str">
        <f t="shared" si="22"/>
        <v>l_(ψ2h,f1,i,j=180)</v>
      </c>
      <c r="F95" s="148" t="s">
        <v>22</v>
      </c>
      <c r="G95" s="149">
        <f>G$10/2/入力!E$14</f>
        <v>3.4160950564986017</v>
      </c>
      <c r="H95" s="149">
        <f>H$10/入力!F$14</f>
        <v>6.8321901129972034</v>
      </c>
      <c r="I95" s="149">
        <f>I$10/2/入力!G$14</f>
        <v>3.4160950564986017</v>
      </c>
      <c r="J95" s="146"/>
      <c r="K95" s="149">
        <f>G95*リスト!$B$13</f>
        <v>2.220461786724091</v>
      </c>
      <c r="L95" s="149">
        <f>H95*リスト!$B$13</f>
        <v>4.440923573448182</v>
      </c>
      <c r="M95" s="149">
        <f>I95*リスト!$B$13</f>
        <v>2.220461786724091</v>
      </c>
      <c r="O95" s="48"/>
      <c r="P95" s="48"/>
      <c r="Q95" s="48"/>
      <c r="R95" s="48"/>
      <c r="S95" s="48"/>
      <c r="T95" s="48"/>
      <c r="U95" s="48"/>
      <c r="V95" s="48"/>
      <c r="W95" s="48"/>
    </row>
    <row r="96" spans="1:23" x14ac:dyDescent="0.15">
      <c r="A96" s="307"/>
      <c r="B96" s="307"/>
      <c r="C96" s="311"/>
      <c r="D96" s="193" t="str">
        <f t="shared" si="22"/>
        <v>(東)</v>
      </c>
      <c r="E96" s="194" t="str">
        <f t="shared" si="22"/>
        <v>l_(ψ2h,f1,i,j=270)</v>
      </c>
      <c r="F96" s="200" t="s">
        <v>22</v>
      </c>
      <c r="G96" s="201">
        <f>0+$O$86/2</f>
        <v>0.5</v>
      </c>
      <c r="H96" s="201">
        <f>0+$O$86</f>
        <v>1</v>
      </c>
      <c r="I96" s="201">
        <f>0+$O$86/2</f>
        <v>0.5</v>
      </c>
      <c r="J96" s="155"/>
      <c r="K96" s="154">
        <f>G96*リスト!$B$13</f>
        <v>0.32500000000000001</v>
      </c>
      <c r="L96" s="154">
        <f>H96*リスト!$B$13</f>
        <v>0.65</v>
      </c>
      <c r="M96" s="154">
        <f>I96*リスト!$B$13</f>
        <v>0.32500000000000001</v>
      </c>
      <c r="O96" s="48"/>
      <c r="P96" s="48"/>
      <c r="Q96" s="48"/>
      <c r="R96" s="48"/>
      <c r="S96" s="48"/>
      <c r="T96" s="48"/>
      <c r="U96" s="48"/>
      <c r="V96" s="48"/>
      <c r="W96" s="48"/>
    </row>
    <row r="97" spans="1:23" x14ac:dyDescent="0.15">
      <c r="A97" s="158" t="s">
        <v>178</v>
      </c>
      <c r="B97" s="340" t="s">
        <v>253</v>
      </c>
      <c r="C97" s="143" t="str">
        <f>C85</f>
        <v>西側の妻住戸</v>
      </c>
      <c r="D97" s="143" t="s">
        <v>165</v>
      </c>
      <c r="E97" s="337" t="s">
        <v>254</v>
      </c>
      <c r="F97" s="144" t="s">
        <v>22</v>
      </c>
      <c r="G97" s="145">
        <f>IF(G8=1, 0, IF(G13=0, 0, IF(入力!E14=1, 0, (計算!G13/計算!G10)/2)))</f>
        <v>0</v>
      </c>
      <c r="H97" s="145">
        <f>IF(H8=1, 0, IF(H13=0, 0, IF(入力!F14=1, 0, (計算!H13/計算!H10)/2)))</f>
        <v>0</v>
      </c>
      <c r="I97" s="145">
        <f>IF(I8=1, 0, IF(I13=0, 0, IF(入力!G14=1, 0, (計算!I13/計算!I10)/2)))</f>
        <v>0</v>
      </c>
      <c r="J97" s="159"/>
      <c r="K97" s="145">
        <f>G97*リスト!$B$14</f>
        <v>0</v>
      </c>
      <c r="L97" s="145">
        <f>H97*リスト!$B$14</f>
        <v>0</v>
      </c>
      <c r="M97" s="145">
        <f>I97*リスト!$B$14</f>
        <v>0</v>
      </c>
      <c r="O97" s="48"/>
      <c r="P97" s="48"/>
      <c r="Q97" s="48"/>
      <c r="R97" s="48"/>
      <c r="S97" s="48"/>
      <c r="T97" s="48"/>
      <c r="U97" s="48"/>
      <c r="V97" s="48"/>
      <c r="W97" s="48"/>
    </row>
    <row r="98" spans="1:23" x14ac:dyDescent="0.15">
      <c r="A98" s="160" t="s">
        <v>179</v>
      </c>
      <c r="B98" s="341"/>
      <c r="C98" s="147" t="str">
        <f t="shared" ref="C98" si="23">C89</f>
        <v>東側の妻住戸</v>
      </c>
      <c r="D98" s="147" t="s">
        <v>165</v>
      </c>
      <c r="E98" s="338"/>
      <c r="F98" s="148" t="s">
        <v>22</v>
      </c>
      <c r="G98" s="149">
        <f>IF(入力!E14=1, "-", IF(計算!G8=1, 0, IF(計算!G13=0, 0, (計算!G13/計算!G10)/2)))</f>
        <v>0</v>
      </c>
      <c r="H98" s="149">
        <f>IF(入力!F14=1, "-", IF(計算!H8=1, 0, IF(計算!H13=0, 0, (計算!H13/計算!H10)/2)))</f>
        <v>0</v>
      </c>
      <c r="I98" s="149">
        <f>IF(入力!G14=1, "-", IF(計算!I8=1, 0, IF(計算!I13=0, 0, (計算!I13/計算!I10)/2)))</f>
        <v>0</v>
      </c>
      <c r="J98" s="161"/>
      <c r="K98" s="149">
        <f>G98*リスト!$B$14</f>
        <v>0</v>
      </c>
      <c r="L98" s="149">
        <f>H98*リスト!$B$14</f>
        <v>0</v>
      </c>
      <c r="M98" s="149">
        <f>I98*リスト!$B$14</f>
        <v>0</v>
      </c>
      <c r="O98" s="48"/>
      <c r="P98" s="48"/>
      <c r="Q98" s="48"/>
      <c r="R98" s="48"/>
      <c r="S98" s="48"/>
      <c r="T98" s="48"/>
      <c r="U98" s="48"/>
      <c r="V98" s="48"/>
      <c r="W98" s="48"/>
    </row>
    <row r="99" spans="1:23" x14ac:dyDescent="0.15">
      <c r="A99" s="162" t="s">
        <v>180</v>
      </c>
      <c r="B99" s="342"/>
      <c r="C99" s="152" t="str">
        <f t="shared" ref="C99" si="24">C93</f>
        <v>中住戸</v>
      </c>
      <c r="D99" s="152" t="s">
        <v>165</v>
      </c>
      <c r="E99" s="339"/>
      <c r="F99" s="153" t="s">
        <v>22</v>
      </c>
      <c r="G99" s="154">
        <f>IF(入力!E14&lt;=2, "-", IF(計算!G8=1, 0, IF(計算!G13=0, 0, 計算!G13/計算!G10)))</f>
        <v>0</v>
      </c>
      <c r="H99" s="154">
        <f>IF(入力!F14&lt;=2, "-", IF(計算!H8=1, 0, IF(計算!H13=0, 0, 計算!H13/計算!H10)))</f>
        <v>0</v>
      </c>
      <c r="I99" s="154">
        <f>IF(入力!G14&lt;=2, "-", IF(計算!I8=1, 0, IF(計算!I13=0, 0, 計算!I13/計算!I10)))</f>
        <v>0</v>
      </c>
      <c r="J99" s="163"/>
      <c r="K99" s="154">
        <f>G99*リスト!$B$14</f>
        <v>0</v>
      </c>
      <c r="L99" s="154">
        <f>H99*リスト!$B$14</f>
        <v>0</v>
      </c>
      <c r="M99" s="154">
        <f>I99*リスト!$B$14</f>
        <v>0</v>
      </c>
      <c r="O99" s="48"/>
      <c r="P99" s="48"/>
      <c r="Q99" s="48"/>
      <c r="R99" s="48"/>
      <c r="S99" s="48"/>
      <c r="T99" s="48"/>
      <c r="U99" s="48"/>
      <c r="V99" s="48"/>
      <c r="W99" s="48"/>
    </row>
    <row r="100" spans="1:23" x14ac:dyDescent="0.15">
      <c r="A100" s="79" t="s">
        <v>181</v>
      </c>
      <c r="B100" s="330" t="s">
        <v>259</v>
      </c>
      <c r="C100" s="75" t="str">
        <f>C82</f>
        <v>西側の妻住戸</v>
      </c>
      <c r="D100" s="75" t="s">
        <v>165</v>
      </c>
      <c r="E100" s="331" t="s">
        <v>221</v>
      </c>
      <c r="F100" s="64" t="s">
        <v>22</v>
      </c>
      <c r="G100" s="65">
        <f>IF($G$12=0, 0, G$10/2/入力!E$14)</f>
        <v>0</v>
      </c>
      <c r="H100" s="65">
        <f>IF(H$12=0, IF(G$12=0, 0, H$10/2/入力!F$14), IF(計算!G$12=0, H$10/2/入力!F$14, H$10/入力!F$14))</f>
        <v>0</v>
      </c>
      <c r="I100" s="65">
        <f>IF(H$12=0, 0, I$10/入力!G$14)</f>
        <v>0</v>
      </c>
      <c r="K100" s="65">
        <f>G100*リスト!$B$15</f>
        <v>0</v>
      </c>
      <c r="L100" s="65">
        <f>H100*リスト!$B$15</f>
        <v>0</v>
      </c>
      <c r="M100" s="65">
        <f>I100*リスト!$B$15</f>
        <v>0</v>
      </c>
      <c r="O100" s="48"/>
      <c r="P100" s="48"/>
      <c r="Q100" s="48"/>
    </row>
    <row r="101" spans="1:23" x14ac:dyDescent="0.15">
      <c r="A101" s="80" t="s">
        <v>240</v>
      </c>
      <c r="B101" s="290"/>
      <c r="C101" s="76" t="str">
        <f>C83</f>
        <v>東側の妻住戸</v>
      </c>
      <c r="D101" s="76" t="s">
        <v>165</v>
      </c>
      <c r="E101" s="332"/>
      <c r="F101" s="77" t="s">
        <v>22</v>
      </c>
      <c r="G101" s="72">
        <f>IF($G$12=0, 0, G$10/2/入力!E$14)</f>
        <v>0</v>
      </c>
      <c r="H101" s="72">
        <f>IF(H$12=0, IF(G$12=0, 0, H$10/2/入力!F$14), IF(計算!G$12=0, H$10/2/入力!F$14, H$10/入力!F$14))</f>
        <v>0</v>
      </c>
      <c r="I101" s="72">
        <f>IF(H$12=0, 0, I$10/入力!G$14)</f>
        <v>0</v>
      </c>
      <c r="K101" s="72">
        <f>G101*リスト!$B$15</f>
        <v>0</v>
      </c>
      <c r="L101" s="72">
        <f>H101*リスト!$B$15</f>
        <v>0</v>
      </c>
      <c r="M101" s="72">
        <f>I101*リスト!$B$15</f>
        <v>0</v>
      </c>
      <c r="O101" s="48"/>
      <c r="P101" s="48"/>
      <c r="Q101" s="48"/>
    </row>
    <row r="102" spans="1:23" x14ac:dyDescent="0.15">
      <c r="A102" s="84" t="s">
        <v>241</v>
      </c>
      <c r="B102" s="292"/>
      <c r="C102" s="78" t="str">
        <f>C84</f>
        <v>中住戸</v>
      </c>
      <c r="D102" s="78" t="s">
        <v>165</v>
      </c>
      <c r="E102" s="333"/>
      <c r="F102" s="67" t="s">
        <v>22</v>
      </c>
      <c r="G102" s="68">
        <f>IF($G$12=0, 0, G$10/2/入力!E$14)</f>
        <v>0</v>
      </c>
      <c r="H102" s="68">
        <f>IF(H$12=0, IF(G$12=0, 0, H$10/2/入力!F$14), IF(計算!G$12=0, H$10/2/入力!F$14, H$10/入力!F$14))</f>
        <v>0</v>
      </c>
      <c r="I102" s="68">
        <f>IF(H$12=0, 0, I$10/入力!G$14)</f>
        <v>0</v>
      </c>
      <c r="K102" s="68">
        <f>G102*リスト!$B$15</f>
        <v>0</v>
      </c>
      <c r="L102" s="68">
        <f>H102*リスト!$B$15</f>
        <v>0</v>
      </c>
      <c r="M102" s="68">
        <f>I102*リスト!$B$15</f>
        <v>0</v>
      </c>
      <c r="O102" s="48"/>
      <c r="P102" s="48"/>
      <c r="Q102" s="48"/>
    </row>
    <row r="103" spans="1:23" x14ac:dyDescent="0.15">
      <c r="A103" s="79" t="s">
        <v>242</v>
      </c>
      <c r="B103" s="330" t="s">
        <v>260</v>
      </c>
      <c r="C103" s="75" t="str">
        <f>C100</f>
        <v>西側の妻住戸</v>
      </c>
      <c r="D103" s="75" t="s">
        <v>165</v>
      </c>
      <c r="E103" s="331" t="s">
        <v>222</v>
      </c>
      <c r="F103" s="64" t="s">
        <v>22</v>
      </c>
      <c r="G103" s="65">
        <f>IF(G$13=0, IF(H$13=0, 0, G$10/2/入力!E$14), IF(計算!H$13=0, G$10/2/入力!E$14, G$10/入力!E$14))</f>
        <v>0</v>
      </c>
      <c r="H103" s="65">
        <f>IF(H$13=0, IF(I$13=0, 0, H$10/2/入力!F$14), IF(計算!I$13=0, H$10/2/入力!F$14, H$10/入力!F$14))</f>
        <v>0</v>
      </c>
      <c r="I103" s="65">
        <f>IF(I$13=0, 0, I$10/2/入力!G$14)</f>
        <v>0</v>
      </c>
      <c r="K103" s="65">
        <f>G103*リスト!$B$16</f>
        <v>0</v>
      </c>
      <c r="L103" s="65">
        <f>H103*リスト!$B$16</f>
        <v>0</v>
      </c>
      <c r="M103" s="65">
        <f>I103*リスト!$B$16</f>
        <v>0</v>
      </c>
      <c r="O103" s="48"/>
      <c r="P103" s="48"/>
      <c r="Q103" s="48"/>
    </row>
    <row r="104" spans="1:23" x14ac:dyDescent="0.15">
      <c r="A104" s="80" t="s">
        <v>243</v>
      </c>
      <c r="B104" s="290"/>
      <c r="C104" s="76" t="str">
        <f>C101</f>
        <v>東側の妻住戸</v>
      </c>
      <c r="D104" s="76" t="s">
        <v>165</v>
      </c>
      <c r="E104" s="332"/>
      <c r="F104" s="77" t="s">
        <v>22</v>
      </c>
      <c r="G104" s="72">
        <f>IF(G$13=0, IF(H$13=0, 0, G$10/2/入力!E$14), IF(計算!H$13=0, G$10/2/入力!E$14, G$10/入力!E$14))</f>
        <v>0</v>
      </c>
      <c r="H104" s="72">
        <f>IF(H$13=0, IF(I$13=0, 0, H$10/2/入力!F$14), IF(計算!I$13=0, H$10/2/入力!F$14, H$10/入力!F$14))</f>
        <v>0</v>
      </c>
      <c r="I104" s="72">
        <f>IF(I$13=0, 0, I$10/2/入力!G$14)</f>
        <v>0</v>
      </c>
      <c r="K104" s="72">
        <f>G104*リスト!$B$16</f>
        <v>0</v>
      </c>
      <c r="L104" s="72">
        <f>H104*リスト!$B$16</f>
        <v>0</v>
      </c>
      <c r="M104" s="72">
        <f>I104*リスト!$B$16</f>
        <v>0</v>
      </c>
      <c r="O104" s="48"/>
      <c r="P104" s="48"/>
      <c r="Q104" s="48"/>
    </row>
    <row r="105" spans="1:23" x14ac:dyDescent="0.15">
      <c r="A105" s="84" t="s">
        <v>244</v>
      </c>
      <c r="B105" s="292"/>
      <c r="C105" s="78" t="str">
        <f>C102</f>
        <v>中住戸</v>
      </c>
      <c r="D105" s="78" t="s">
        <v>165</v>
      </c>
      <c r="E105" s="333"/>
      <c r="F105" s="67" t="s">
        <v>22</v>
      </c>
      <c r="G105" s="68">
        <f>IF(G$13=0, IF(H$13=0, 0, G$10/2/入力!E$14), IF(計算!H$13=0, G$10/2/入力!E$14, G$10/入力!E$14))</f>
        <v>0</v>
      </c>
      <c r="H105" s="68">
        <f>IF(H$13=0, IF(I$13=0, 0, H$10/2/入力!F$14), IF(計算!I$13=0, H$10/2/入力!F$14, H$10/入力!F$14))</f>
        <v>0</v>
      </c>
      <c r="I105" s="68">
        <f>IF(I$13=0, 0, I$10/2/入力!G$14)</f>
        <v>0</v>
      </c>
      <c r="K105" s="68">
        <f>G105*リスト!$B$16</f>
        <v>0</v>
      </c>
      <c r="L105" s="68">
        <f>H105*リスト!$B$16</f>
        <v>0</v>
      </c>
      <c r="M105" s="68">
        <f>I105*リスト!$B$16</f>
        <v>0</v>
      </c>
      <c r="O105" s="48"/>
      <c r="P105" s="48"/>
      <c r="Q105" s="48"/>
    </row>
    <row r="106" spans="1:23" ht="14.25" x14ac:dyDescent="0.15">
      <c r="A106" s="325" t="s">
        <v>245</v>
      </c>
      <c r="B106" s="318" t="s">
        <v>234</v>
      </c>
      <c r="C106" s="318" t="str">
        <f>C100</f>
        <v>西側の妻住戸</v>
      </c>
      <c r="D106" s="170" t="str">
        <f t="shared" ref="D106:D117" si="25">D70</f>
        <v>(南)</v>
      </c>
      <c r="E106" s="202" t="s">
        <v>223</v>
      </c>
      <c r="F106" s="69" t="s">
        <v>61</v>
      </c>
      <c r="G106" s="65">
        <f>IF(G8=1, G10/入力!E14, 0)</f>
        <v>6.8321901129972034</v>
      </c>
      <c r="H106" s="134">
        <f>IF(H8=1, H10/入力!F14, 0)</f>
        <v>0</v>
      </c>
      <c r="I106" s="134">
        <f>IF(I8=1, I10/入力!G14, 0)</f>
        <v>0</v>
      </c>
      <c r="K106" s="65">
        <f>G106*リスト!$B$17</f>
        <v>2.3912665395490209</v>
      </c>
      <c r="L106" s="65">
        <f>H106*リスト!$B$17</f>
        <v>0</v>
      </c>
      <c r="M106" s="65">
        <f>I106*リスト!$B$17</f>
        <v>0</v>
      </c>
      <c r="O106" s="175" t="s">
        <v>273</v>
      </c>
      <c r="P106" s="175"/>
      <c r="Q106" s="48"/>
    </row>
    <row r="107" spans="1:23" ht="14.25" x14ac:dyDescent="0.15">
      <c r="A107" s="326"/>
      <c r="B107" s="320"/>
      <c r="C107" s="320"/>
      <c r="D107" s="172" t="str">
        <f t="shared" si="25"/>
        <v>(西)</v>
      </c>
      <c r="E107" s="184" t="s">
        <v>224</v>
      </c>
      <c r="F107" s="179" t="s">
        <v>61</v>
      </c>
      <c r="G107" s="180">
        <f>IF(G8=1, G11, 0)+$O$107</f>
        <v>6.9512395480111895</v>
      </c>
      <c r="H107" s="135">
        <f t="shared" ref="H107:I107" si="26">IF(H8=1, H11, 0)</f>
        <v>0</v>
      </c>
      <c r="I107" s="135">
        <f t="shared" si="26"/>
        <v>0</v>
      </c>
      <c r="K107" s="72">
        <f>G107*リスト!$B$17</f>
        <v>2.4329338418039161</v>
      </c>
      <c r="L107" s="72">
        <f>H107*リスト!$B$17</f>
        <v>0</v>
      </c>
      <c r="M107" s="72">
        <f>I107*リスト!$B$17</f>
        <v>0</v>
      </c>
      <c r="O107" s="186">
        <v>1</v>
      </c>
      <c r="P107" s="175" t="s">
        <v>274</v>
      </c>
      <c r="Q107" s="48"/>
    </row>
    <row r="108" spans="1:23" ht="14.25" x14ac:dyDescent="0.15">
      <c r="A108" s="326"/>
      <c r="B108" s="320"/>
      <c r="C108" s="320"/>
      <c r="D108" s="172" t="str">
        <f t="shared" si="25"/>
        <v>(北)</v>
      </c>
      <c r="E108" s="184" t="s">
        <v>225</v>
      </c>
      <c r="F108" s="71" t="s">
        <v>61</v>
      </c>
      <c r="G108" s="72">
        <f>IF(G8=1, G10/入力!E14, 0)</f>
        <v>6.8321901129972034</v>
      </c>
      <c r="H108" s="135">
        <f>IF(H8=1, H10/入力!F14, 0)</f>
        <v>0</v>
      </c>
      <c r="I108" s="135">
        <f>IF(I8=1, I10/入力!G14, 0)</f>
        <v>0</v>
      </c>
      <c r="K108" s="72">
        <f>G108*リスト!$B$17</f>
        <v>2.3912665395490209</v>
      </c>
      <c r="L108" s="72">
        <f>H108*リスト!$B$17</f>
        <v>0</v>
      </c>
      <c r="M108" s="72">
        <f>I108*リスト!$B$17</f>
        <v>0</v>
      </c>
      <c r="O108" s="48"/>
      <c r="P108" s="48"/>
      <c r="Q108" s="48"/>
    </row>
    <row r="109" spans="1:23" ht="14.25" x14ac:dyDescent="0.15">
      <c r="A109" s="327"/>
      <c r="B109" s="320"/>
      <c r="C109" s="321"/>
      <c r="D109" s="203" t="str">
        <f t="shared" si="25"/>
        <v>(東)</v>
      </c>
      <c r="E109" s="204" t="s">
        <v>226</v>
      </c>
      <c r="F109" s="208" t="s">
        <v>61</v>
      </c>
      <c r="G109" s="209">
        <f>IF(G8=1, IF(入力!E14=1, G11, 0), 0)+$O$107</f>
        <v>1</v>
      </c>
      <c r="H109" s="137">
        <f>IF(H8=1, IF(入力!F14=1, H11, 0), 0)</f>
        <v>0</v>
      </c>
      <c r="I109" s="137">
        <f>IF(I8=1, IF(入力!G14=1, I11, 0), 0)</f>
        <v>0</v>
      </c>
      <c r="K109" s="117">
        <f>G109*リスト!$B$17</f>
        <v>0.35</v>
      </c>
      <c r="L109" s="117">
        <f>H109*リスト!$B$17</f>
        <v>0</v>
      </c>
      <c r="M109" s="117">
        <f>I109*リスト!$B$17</f>
        <v>0</v>
      </c>
      <c r="O109" s="48"/>
      <c r="P109" s="48"/>
      <c r="Q109" s="48"/>
    </row>
    <row r="110" spans="1:23" ht="14.25" x14ac:dyDescent="0.15">
      <c r="A110" s="325" t="s">
        <v>246</v>
      </c>
      <c r="B110" s="320"/>
      <c r="C110" s="318" t="str">
        <f>C101</f>
        <v>東側の妻住戸</v>
      </c>
      <c r="D110" s="170" t="str">
        <f t="shared" si="25"/>
        <v>(南)</v>
      </c>
      <c r="E110" s="202" t="s">
        <v>223</v>
      </c>
      <c r="F110" s="109" t="s">
        <v>61</v>
      </c>
      <c r="G110" s="65">
        <f>IF(入力!E14=1, "-", IF(G8=1, G10/入力!E14, 0))</f>
        <v>6.8321901129972034</v>
      </c>
      <c r="H110" s="134">
        <f>IF(入力!F14=1, "-", IF(H8=1, H10/入力!F14, 0))</f>
        <v>0</v>
      </c>
      <c r="I110" s="134">
        <f>IF(入力!G14=1, "-", IF(I8=1, I10/入力!G14, 0))</f>
        <v>0</v>
      </c>
      <c r="J110" s="124"/>
      <c r="K110" s="65">
        <f>G110*リスト!$B$17</f>
        <v>2.3912665395490209</v>
      </c>
      <c r="L110" s="65">
        <f>H110*リスト!$B$17</f>
        <v>0</v>
      </c>
      <c r="M110" s="65">
        <f>I110*リスト!$B$17</f>
        <v>0</v>
      </c>
    </row>
    <row r="111" spans="1:23" ht="14.25" x14ac:dyDescent="0.15">
      <c r="A111" s="326"/>
      <c r="B111" s="320"/>
      <c r="C111" s="320"/>
      <c r="D111" s="172" t="str">
        <f t="shared" si="25"/>
        <v>(西)</v>
      </c>
      <c r="E111" s="184" t="s">
        <v>224</v>
      </c>
      <c r="F111" s="179" t="s">
        <v>61</v>
      </c>
      <c r="G111" s="180">
        <f>IF(入力!E14=1, "-", IF(G8=1, 0, 0))+$O$107</f>
        <v>1</v>
      </c>
      <c r="H111" s="135">
        <f>IF(入力!F14=1, "-", IF(H8=1, 0, 0))</f>
        <v>0</v>
      </c>
      <c r="I111" s="135">
        <f>IF(入力!G14=1, "-", IF(I8=1, 0, 0))</f>
        <v>0</v>
      </c>
      <c r="J111" s="125"/>
      <c r="K111" s="72">
        <f>G111*リスト!$B$17</f>
        <v>0.35</v>
      </c>
      <c r="L111" s="72">
        <f>H111*リスト!$B$17</f>
        <v>0</v>
      </c>
      <c r="M111" s="72">
        <f>I111*リスト!$B$17</f>
        <v>0</v>
      </c>
    </row>
    <row r="112" spans="1:23" ht="14.25" x14ac:dyDescent="0.15">
      <c r="A112" s="326"/>
      <c r="B112" s="320"/>
      <c r="C112" s="320"/>
      <c r="D112" s="172" t="str">
        <f t="shared" si="25"/>
        <v>(北)</v>
      </c>
      <c r="E112" s="184" t="s">
        <v>225</v>
      </c>
      <c r="F112" s="71" t="s">
        <v>61</v>
      </c>
      <c r="G112" s="72">
        <f>IF(入力!E14=1, "-", IF(G8=1, G10/入力!E14, 0))</f>
        <v>6.8321901129972034</v>
      </c>
      <c r="H112" s="135">
        <f>IF(入力!F14=1, "-", IF(H8=1, H10/入力!F14, 0))</f>
        <v>0</v>
      </c>
      <c r="I112" s="135">
        <f>IF(入力!G14=1, "-", IF(I8=1, I10/入力!G14, 0))</f>
        <v>0</v>
      </c>
      <c r="J112" s="125"/>
      <c r="K112" s="72">
        <f>G112*リスト!$B$17</f>
        <v>2.3912665395490209</v>
      </c>
      <c r="L112" s="72">
        <f>H112*リスト!$B$17</f>
        <v>0</v>
      </c>
      <c r="M112" s="72">
        <f>I112*リスト!$B$17</f>
        <v>0</v>
      </c>
    </row>
    <row r="113" spans="1:15" ht="14.25" x14ac:dyDescent="0.15">
      <c r="A113" s="328"/>
      <c r="B113" s="320"/>
      <c r="C113" s="322"/>
      <c r="D113" s="174" t="str">
        <f t="shared" si="25"/>
        <v>(東)</v>
      </c>
      <c r="E113" s="205" t="s">
        <v>226</v>
      </c>
      <c r="F113" s="182" t="s">
        <v>61</v>
      </c>
      <c r="G113" s="183">
        <f>IF(入力!E14=1, "-", IF(G8=1, G11, 0))+$O$107</f>
        <v>6.9512395480111895</v>
      </c>
      <c r="H113" s="136">
        <f>IF(入力!F14=1, "-", IF(H8=1, H11, 0))</f>
        <v>0</v>
      </c>
      <c r="I113" s="136">
        <f>IF(入力!G14=1, "-", IF(I8=1, I11, 0))</f>
        <v>0</v>
      </c>
      <c r="J113" s="126"/>
      <c r="K113" s="68">
        <f>G113*リスト!$B$17</f>
        <v>2.4329338418039161</v>
      </c>
      <c r="L113" s="68">
        <f>H113*リスト!$B$17</f>
        <v>0</v>
      </c>
      <c r="M113" s="68">
        <f>I113*リスト!$B$17</f>
        <v>0</v>
      </c>
    </row>
    <row r="114" spans="1:15" ht="14.25" x14ac:dyDescent="0.15">
      <c r="A114" s="329" t="s">
        <v>247</v>
      </c>
      <c r="B114" s="320"/>
      <c r="C114" s="324" t="str">
        <f>C102</f>
        <v>中住戸</v>
      </c>
      <c r="D114" s="206" t="str">
        <f t="shared" si="25"/>
        <v>(南)</v>
      </c>
      <c r="E114" s="207" t="s">
        <v>223</v>
      </c>
      <c r="F114" s="121" t="s">
        <v>61</v>
      </c>
      <c r="G114" s="122">
        <f>IF(入力!E14&lt;=2, "-", IF(G8=1, G10/入力!E14, 0))</f>
        <v>6.8321901129972034</v>
      </c>
      <c r="H114" s="210">
        <f>IF(入力!F14&lt;=2, "-", IF(H8=1, H10/入力!F14, 0))</f>
        <v>0</v>
      </c>
      <c r="I114" s="210">
        <f>IF(入力!G14&lt;=2, "-", IF(I8=1, I10/入力!G14, 0))</f>
        <v>0</v>
      </c>
      <c r="K114" s="122">
        <f>G114*リスト!$B$17</f>
        <v>2.3912665395490209</v>
      </c>
      <c r="L114" s="122">
        <f>H114*リスト!$B$17</f>
        <v>0</v>
      </c>
      <c r="M114" s="122">
        <f>I114*リスト!$B$17</f>
        <v>0</v>
      </c>
    </row>
    <row r="115" spans="1:15" ht="14.25" x14ac:dyDescent="0.15">
      <c r="A115" s="326"/>
      <c r="B115" s="320"/>
      <c r="C115" s="320"/>
      <c r="D115" s="172" t="str">
        <f t="shared" si="25"/>
        <v>(西)</v>
      </c>
      <c r="E115" s="184" t="s">
        <v>224</v>
      </c>
      <c r="F115" s="179" t="s">
        <v>61</v>
      </c>
      <c r="G115" s="180">
        <f>IF(入力!E14&lt;=2, "-", IF(G8=1, 0, 0))+$O$107</f>
        <v>1</v>
      </c>
      <c r="H115" s="135">
        <f>IF(入力!F14&lt;=2, "-", IF(H8=1, 0, 0))</f>
        <v>0</v>
      </c>
      <c r="I115" s="135">
        <f>IF(入力!G14&lt;=2, "-", IF(I8=1, 0, 0))</f>
        <v>0</v>
      </c>
      <c r="K115" s="72">
        <f>G115*リスト!$B$17</f>
        <v>0.35</v>
      </c>
      <c r="L115" s="72">
        <f>H115*リスト!$B$17</f>
        <v>0</v>
      </c>
      <c r="M115" s="72">
        <f>I115*リスト!$B$17</f>
        <v>0</v>
      </c>
    </row>
    <row r="116" spans="1:15" ht="14.25" x14ac:dyDescent="0.15">
      <c r="A116" s="326"/>
      <c r="B116" s="320"/>
      <c r="C116" s="320"/>
      <c r="D116" s="172" t="str">
        <f t="shared" si="25"/>
        <v>(北)</v>
      </c>
      <c r="E116" s="184" t="s">
        <v>225</v>
      </c>
      <c r="F116" s="71" t="s">
        <v>61</v>
      </c>
      <c r="G116" s="72">
        <f>IF(入力!E14&lt;=2, "-", IF(G8=1, G10/入力!E14, 0))</f>
        <v>6.8321901129972034</v>
      </c>
      <c r="H116" s="135">
        <f>IF(入力!F14&lt;=2, "-", IF(H8=1, H10/入力!F14, 0))</f>
        <v>0</v>
      </c>
      <c r="I116" s="135">
        <f>IF(入力!G14&lt;=2, "-", IF(I8=1, I10/入力!G14, 0))</f>
        <v>0</v>
      </c>
      <c r="K116" s="72">
        <f>G116*リスト!$B$17</f>
        <v>2.3912665395490209</v>
      </c>
      <c r="L116" s="72">
        <f>H116*リスト!$B$17</f>
        <v>0</v>
      </c>
      <c r="M116" s="72">
        <f>I116*リスト!$B$17</f>
        <v>0</v>
      </c>
    </row>
    <row r="117" spans="1:15" ht="14.25" x14ac:dyDescent="0.15">
      <c r="A117" s="328"/>
      <c r="B117" s="322"/>
      <c r="C117" s="322"/>
      <c r="D117" s="174" t="str">
        <f t="shared" si="25"/>
        <v>(東)</v>
      </c>
      <c r="E117" s="205" t="s">
        <v>226</v>
      </c>
      <c r="F117" s="182" t="s">
        <v>61</v>
      </c>
      <c r="G117" s="183">
        <f>IF(入力!E14&lt;=2, "-", IF(G8=1, 0, 0))+$O$107</f>
        <v>1</v>
      </c>
      <c r="H117" s="136">
        <f>IF(入力!F14&lt;=2, "-", IF(H8=1, 0, 0))</f>
        <v>0</v>
      </c>
      <c r="I117" s="136">
        <f>IF(入力!G14&lt;=2, "-", IF(I8=1, 0, 0))</f>
        <v>0</v>
      </c>
      <c r="K117" s="68">
        <f>G117*リスト!$B$17</f>
        <v>0.35</v>
      </c>
      <c r="L117" s="68">
        <f>H117*リスト!$B$17</f>
        <v>0</v>
      </c>
      <c r="M117" s="68">
        <f>I117*リスト!$B$17</f>
        <v>0</v>
      </c>
    </row>
    <row r="118" spans="1:15" x14ac:dyDescent="0.15">
      <c r="A118" s="79" t="s">
        <v>248</v>
      </c>
      <c r="B118" s="265" t="s">
        <v>235</v>
      </c>
      <c r="C118" s="75" t="str">
        <f>C103</f>
        <v>西側の妻住戸</v>
      </c>
      <c r="D118" s="75" t="s">
        <v>165</v>
      </c>
      <c r="E118" s="331" t="s">
        <v>227</v>
      </c>
      <c r="F118" s="64" t="s">
        <v>22</v>
      </c>
      <c r="G118" s="65">
        <f>IF(G8=1, IF(入力!E14=1, G10*ROUNDDOWN(G11/20, 0), G11/2+(G10/入力!E14)*ROUNDDOWN(G11/20,0)), 0)</f>
        <v>2.9756197740055947</v>
      </c>
      <c r="H118" s="65">
        <f>IF(H8=1, IF(入力!F14=1, H10*ROUNDDOWN(H11/20, 0), H11/2+(H10/入力!F14)*ROUNDDOWN(H11/20,0)), 0)</f>
        <v>0</v>
      </c>
      <c r="I118" s="65">
        <f>IF(I8=1, IF(入力!G14=1, I10*ROUNDDOWN(I11/20, 0), I11/2+(I10/入力!G14)*ROUNDDOWN(I11/20,0)), 0)</f>
        <v>0</v>
      </c>
      <c r="K118" s="65">
        <f>G118*リスト!$B$18</f>
        <v>1.9341528531036367</v>
      </c>
      <c r="L118" s="65">
        <f>H118*リスト!$B$18</f>
        <v>0</v>
      </c>
      <c r="M118" s="65">
        <f>I118*リスト!$B$18</f>
        <v>0</v>
      </c>
    </row>
    <row r="119" spans="1:15" x14ac:dyDescent="0.15">
      <c r="A119" s="80" t="s">
        <v>249</v>
      </c>
      <c r="B119" s="290"/>
      <c r="C119" s="76" t="str">
        <f t="shared" ref="C119:C120" si="27">C104</f>
        <v>東側の妻住戸</v>
      </c>
      <c r="D119" s="76" t="s">
        <v>165</v>
      </c>
      <c r="E119" s="332"/>
      <c r="F119" s="77" t="s">
        <v>22</v>
      </c>
      <c r="G119" s="72">
        <f>IF(入力!E14=1,"-",IF(G8=1,G11/2+(G10/入力!E14)*ROUNDDOWN(G11/20,0),0))</f>
        <v>2.9756197740055947</v>
      </c>
      <c r="H119" s="72">
        <f>IF(入力!F14=1,"-",IF(H8=1,H11/2+(H10/入力!F14)*ROUNDDOWN(H11/20,0),0))</f>
        <v>0</v>
      </c>
      <c r="I119" s="72">
        <f>IF(入力!G14=1,"-",IF(I8=1,I11/2+(I10/入力!G14)*ROUNDDOWN(I11/20,0),0))</f>
        <v>0</v>
      </c>
      <c r="K119" s="72">
        <f>G119*リスト!$B$18</f>
        <v>1.9341528531036367</v>
      </c>
      <c r="L119" s="72">
        <f>H119*リスト!$B$18</f>
        <v>0</v>
      </c>
      <c r="M119" s="72">
        <f>I119*リスト!$B$18</f>
        <v>0</v>
      </c>
    </row>
    <row r="120" spans="1:15" x14ac:dyDescent="0.15">
      <c r="A120" s="84" t="s">
        <v>250</v>
      </c>
      <c r="B120" s="292"/>
      <c r="C120" s="78" t="str">
        <f t="shared" si="27"/>
        <v>中住戸</v>
      </c>
      <c r="D120" s="78" t="s">
        <v>165</v>
      </c>
      <c r="E120" s="333"/>
      <c r="F120" s="67" t="s">
        <v>22</v>
      </c>
      <c r="G120" s="68">
        <f>IF(入力!E14&lt;=2,"-",IF(G8=1,G11+(G10/入力!E14)*ROUNDDOWN(G11/20,0),0))</f>
        <v>5.9512395480111895</v>
      </c>
      <c r="H120" s="68">
        <f>IF(入力!F14&lt;=2,"-",IF(H8=1,H11+(H10/入力!F14)*ROUNDDOWN(H11/20,0),0))</f>
        <v>0</v>
      </c>
      <c r="I120" s="68">
        <f>IF(入力!G14&lt;=2,"-",IF(I8=1,I11+(I10/入力!G14)*ROUNDDOWN(I11/20,0),0))</f>
        <v>0</v>
      </c>
      <c r="K120" s="68">
        <f>G120*リスト!$B$18</f>
        <v>3.8683057062072734</v>
      </c>
      <c r="L120" s="68">
        <f>H120*リスト!$B$18</f>
        <v>0</v>
      </c>
      <c r="M120" s="68">
        <f>I120*リスト!$B$18</f>
        <v>0</v>
      </c>
    </row>
    <row r="122" spans="1:15" ht="14.25" x14ac:dyDescent="0.15">
      <c r="A122" s="169"/>
      <c r="B122" s="318" t="s">
        <v>266</v>
      </c>
      <c r="C122" s="170" t="s">
        <v>268</v>
      </c>
      <c r="D122" s="170" t="s">
        <v>270</v>
      </c>
      <c r="E122" s="166"/>
      <c r="F122" s="176" t="s">
        <v>267</v>
      </c>
      <c r="G122" s="177">
        <v>1.6</v>
      </c>
      <c r="H122" s="177">
        <v>1.6</v>
      </c>
      <c r="I122" s="177">
        <v>1.6</v>
      </c>
      <c r="J122" s="178"/>
      <c r="K122" s="177">
        <f>G122*$O$123</f>
        <v>7.4400000000000013</v>
      </c>
      <c r="L122" s="177">
        <f t="shared" ref="L122:M122" si="28">H122*$O$123</f>
        <v>7.4400000000000013</v>
      </c>
      <c r="M122" s="177">
        <f t="shared" si="28"/>
        <v>7.4400000000000013</v>
      </c>
      <c r="O122" s="175" t="s">
        <v>271</v>
      </c>
    </row>
    <row r="123" spans="1:15" ht="14.25" x14ac:dyDescent="0.15">
      <c r="A123" s="171"/>
      <c r="B123" s="316"/>
      <c r="C123" s="172" t="s">
        <v>269</v>
      </c>
      <c r="D123" s="172" t="s">
        <v>270</v>
      </c>
      <c r="E123" s="167"/>
      <c r="F123" s="179" t="s">
        <v>267</v>
      </c>
      <c r="G123" s="180">
        <v>1.6</v>
      </c>
      <c r="H123" s="180">
        <v>1.6</v>
      </c>
      <c r="I123" s="180">
        <v>1.6</v>
      </c>
      <c r="J123" s="181"/>
      <c r="K123" s="180">
        <f t="shared" ref="K123:K124" si="29">G123*$O$123</f>
        <v>7.4400000000000013</v>
      </c>
      <c r="L123" s="180">
        <f t="shared" ref="L123" si="30">H123*$O$123</f>
        <v>7.4400000000000013</v>
      </c>
      <c r="M123" s="180">
        <f t="shared" ref="M123:M124" si="31">I123*$O$123</f>
        <v>7.4400000000000013</v>
      </c>
      <c r="O123" s="175">
        <v>4.6500000000000004</v>
      </c>
    </row>
    <row r="124" spans="1:15" ht="14.25" x14ac:dyDescent="0.15">
      <c r="A124" s="173"/>
      <c r="B124" s="319"/>
      <c r="C124" s="174" t="s">
        <v>125</v>
      </c>
      <c r="D124" s="174" t="s">
        <v>270</v>
      </c>
      <c r="E124" s="168"/>
      <c r="F124" s="182" t="s">
        <v>267</v>
      </c>
      <c r="G124" s="183">
        <v>1.6</v>
      </c>
      <c r="H124" s="183">
        <v>1.6</v>
      </c>
      <c r="I124" s="183">
        <v>1.6</v>
      </c>
      <c r="J124" s="178"/>
      <c r="K124" s="183">
        <f t="shared" si="29"/>
        <v>7.4400000000000013</v>
      </c>
      <c r="L124" s="183">
        <f>H124*$O$123</f>
        <v>7.4400000000000013</v>
      </c>
      <c r="M124" s="183">
        <f t="shared" si="31"/>
        <v>7.4400000000000013</v>
      </c>
    </row>
  </sheetData>
  <mergeCells count="94">
    <mergeCell ref="B122:B124"/>
    <mergeCell ref="B118:B120"/>
    <mergeCell ref="E118:E120"/>
    <mergeCell ref="B50:D50"/>
    <mergeCell ref="O17:Q17"/>
    <mergeCell ref="O23:Q23"/>
    <mergeCell ref="O29:Q29"/>
    <mergeCell ref="E45:E47"/>
    <mergeCell ref="F45:F47"/>
    <mergeCell ref="B48:D48"/>
    <mergeCell ref="B49:D49"/>
    <mergeCell ref="A51:I51"/>
    <mergeCell ref="C28:C31"/>
    <mergeCell ref="A20:A23"/>
    <mergeCell ref="A24:A27"/>
    <mergeCell ref="A28:A31"/>
    <mergeCell ref="B100:B102"/>
    <mergeCell ref="E100:E102"/>
    <mergeCell ref="B103:B105"/>
    <mergeCell ref="E103:E105"/>
    <mergeCell ref="E64:E66"/>
    <mergeCell ref="B67:B69"/>
    <mergeCell ref="E67:E69"/>
    <mergeCell ref="B64:B66"/>
    <mergeCell ref="B82:B84"/>
    <mergeCell ref="E82:E84"/>
    <mergeCell ref="E97:E99"/>
    <mergeCell ref="B97:B99"/>
    <mergeCell ref="A106:A109"/>
    <mergeCell ref="B106:B117"/>
    <mergeCell ref="C106:C109"/>
    <mergeCell ref="A110:A113"/>
    <mergeCell ref="C110:C113"/>
    <mergeCell ref="A114:A117"/>
    <mergeCell ref="C114:C117"/>
    <mergeCell ref="A70:A73"/>
    <mergeCell ref="B70:B81"/>
    <mergeCell ref="C70:C73"/>
    <mergeCell ref="A74:A77"/>
    <mergeCell ref="C74:C77"/>
    <mergeCell ref="A78:A81"/>
    <mergeCell ref="C78:C81"/>
    <mergeCell ref="A85:A88"/>
    <mergeCell ref="B85:B96"/>
    <mergeCell ref="C85:C88"/>
    <mergeCell ref="A89:A92"/>
    <mergeCell ref="C89:C92"/>
    <mergeCell ref="A93:A96"/>
    <mergeCell ref="C93:C96"/>
    <mergeCell ref="A52:A55"/>
    <mergeCell ref="A56:A59"/>
    <mergeCell ref="A60:A63"/>
    <mergeCell ref="C52:C55"/>
    <mergeCell ref="A40:A43"/>
    <mergeCell ref="C40:C43"/>
    <mergeCell ref="C45:D45"/>
    <mergeCell ref="C46:D46"/>
    <mergeCell ref="C47:D47"/>
    <mergeCell ref="B44:D44"/>
    <mergeCell ref="B45:B47"/>
    <mergeCell ref="C56:C59"/>
    <mergeCell ref="C60:C63"/>
    <mergeCell ref="B52:B63"/>
    <mergeCell ref="B14:B17"/>
    <mergeCell ref="B20:B31"/>
    <mergeCell ref="B32:B43"/>
    <mergeCell ref="A32:A35"/>
    <mergeCell ref="C32:C35"/>
    <mergeCell ref="A36:A39"/>
    <mergeCell ref="C36:C39"/>
    <mergeCell ref="C15:D15"/>
    <mergeCell ref="C14:D14"/>
    <mergeCell ref="C17:D17"/>
    <mergeCell ref="B19:D19"/>
    <mergeCell ref="C20:C23"/>
    <mergeCell ref="C16:D16"/>
    <mergeCell ref="A18:I18"/>
    <mergeCell ref="C24:C27"/>
    <mergeCell ref="O35:Q35"/>
    <mergeCell ref="B12:D12"/>
    <mergeCell ref="B13:D13"/>
    <mergeCell ref="A1:D1"/>
    <mergeCell ref="A2:A5"/>
    <mergeCell ref="B2:D5"/>
    <mergeCell ref="B7:D7"/>
    <mergeCell ref="B9:D9"/>
    <mergeCell ref="A10:A11"/>
    <mergeCell ref="B10:D10"/>
    <mergeCell ref="B11:D11"/>
    <mergeCell ref="A6:I6"/>
    <mergeCell ref="G1:I1"/>
    <mergeCell ref="H2:I5"/>
    <mergeCell ref="H7:I7"/>
    <mergeCell ref="A8:D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0" sqref="F30"/>
    </sheetView>
  </sheetViews>
  <sheetFormatPr defaultRowHeight="12" x14ac:dyDescent="0.15"/>
  <cols>
    <col min="1" max="1" width="8.125" style="1" bestFit="1" customWidth="1"/>
    <col min="2" max="9" width="7.625" style="1" customWidth="1"/>
    <col min="10" max="16384" width="9" style="1"/>
  </cols>
  <sheetData>
    <row r="1" spans="1:9" x14ac:dyDescent="0.15">
      <c r="A1" s="1" t="s">
        <v>137</v>
      </c>
    </row>
    <row r="2" spans="1:9" x14ac:dyDescent="0.15">
      <c r="A2" s="103" t="s">
        <v>91</v>
      </c>
      <c r="B2" s="138" t="s">
        <v>100</v>
      </c>
      <c r="C2" s="138" t="s">
        <v>138</v>
      </c>
      <c r="D2" s="138" t="s">
        <v>101</v>
      </c>
      <c r="E2" s="138" t="s">
        <v>139</v>
      </c>
      <c r="F2" s="138" t="s">
        <v>25</v>
      </c>
      <c r="G2" s="138" t="s">
        <v>140</v>
      </c>
      <c r="H2" s="138" t="s">
        <v>99</v>
      </c>
      <c r="I2" s="138" t="s">
        <v>141</v>
      </c>
    </row>
    <row r="3" spans="1:9" x14ac:dyDescent="0.15">
      <c r="A3" s="103" t="s">
        <v>93</v>
      </c>
      <c r="B3" s="138" t="s">
        <v>101</v>
      </c>
      <c r="C3" s="138" t="s">
        <v>139</v>
      </c>
      <c r="D3" s="138" t="s">
        <v>25</v>
      </c>
      <c r="E3" s="138" t="s">
        <v>140</v>
      </c>
      <c r="F3" s="138" t="s">
        <v>99</v>
      </c>
      <c r="G3" s="138" t="s">
        <v>141</v>
      </c>
      <c r="H3" s="138" t="s">
        <v>100</v>
      </c>
      <c r="I3" s="138" t="s">
        <v>138</v>
      </c>
    </row>
    <row r="4" spans="1:9" x14ac:dyDescent="0.15">
      <c r="A4" s="103" t="s">
        <v>95</v>
      </c>
      <c r="B4" s="138" t="s">
        <v>25</v>
      </c>
      <c r="C4" s="138" t="s">
        <v>140</v>
      </c>
      <c r="D4" s="138" t="s">
        <v>99</v>
      </c>
      <c r="E4" s="138" t="s">
        <v>141</v>
      </c>
      <c r="F4" s="138" t="s">
        <v>100</v>
      </c>
      <c r="G4" s="138" t="s">
        <v>138</v>
      </c>
      <c r="H4" s="138" t="s">
        <v>101</v>
      </c>
      <c r="I4" s="138" t="s">
        <v>139</v>
      </c>
    </row>
    <row r="5" spans="1:9" x14ac:dyDescent="0.15">
      <c r="A5" s="103" t="s">
        <v>97</v>
      </c>
      <c r="B5" s="138" t="s">
        <v>99</v>
      </c>
      <c r="C5" s="138" t="s">
        <v>141</v>
      </c>
      <c r="D5" s="138" t="s">
        <v>100</v>
      </c>
      <c r="E5" s="138" t="s">
        <v>138</v>
      </c>
      <c r="F5" s="138" t="s">
        <v>101</v>
      </c>
      <c r="G5" s="138" t="s">
        <v>139</v>
      </c>
      <c r="H5" s="138" t="s">
        <v>25</v>
      </c>
      <c r="I5" s="138" t="s">
        <v>140</v>
      </c>
    </row>
    <row r="7" spans="1:9" x14ac:dyDescent="0.15">
      <c r="A7" s="1" t="s">
        <v>257</v>
      </c>
      <c r="B7" s="1" t="s">
        <v>208</v>
      </c>
    </row>
    <row r="8" spans="1:9" x14ac:dyDescent="0.15">
      <c r="A8" s="104" t="s">
        <v>182</v>
      </c>
      <c r="B8" s="105">
        <v>0</v>
      </c>
      <c r="C8" s="106" t="s">
        <v>183</v>
      </c>
    </row>
    <row r="9" spans="1:9" x14ac:dyDescent="0.15">
      <c r="A9" s="104" t="s">
        <v>184</v>
      </c>
      <c r="B9" s="105">
        <v>0.35</v>
      </c>
      <c r="C9" s="106" t="s">
        <v>183</v>
      </c>
    </row>
    <row r="10" spans="1:9" x14ac:dyDescent="0.15">
      <c r="A10" s="104" t="s">
        <v>185</v>
      </c>
      <c r="B10" s="105">
        <v>0</v>
      </c>
      <c r="C10" s="106" t="s">
        <v>183</v>
      </c>
    </row>
    <row r="11" spans="1:9" x14ac:dyDescent="0.15">
      <c r="A11" s="104" t="s">
        <v>186</v>
      </c>
      <c r="B11" s="105">
        <v>0.65</v>
      </c>
      <c r="C11" s="106" t="s">
        <v>183</v>
      </c>
    </row>
    <row r="12" spans="1:9" x14ac:dyDescent="0.15">
      <c r="A12" s="104" t="s">
        <v>187</v>
      </c>
      <c r="B12" s="105">
        <v>0</v>
      </c>
      <c r="C12" s="106" t="s">
        <v>183</v>
      </c>
    </row>
    <row r="13" spans="1:9" x14ac:dyDescent="0.15">
      <c r="A13" s="104" t="s">
        <v>251</v>
      </c>
      <c r="B13" s="105">
        <v>0.65</v>
      </c>
      <c r="C13" s="106" t="s">
        <v>183</v>
      </c>
    </row>
    <row r="14" spans="1:9" x14ac:dyDescent="0.15">
      <c r="A14" s="104" t="s">
        <v>252</v>
      </c>
      <c r="B14" s="105">
        <v>0.65</v>
      </c>
      <c r="C14" s="106" t="s">
        <v>183</v>
      </c>
    </row>
    <row r="15" spans="1:9" x14ac:dyDescent="0.15">
      <c r="A15" s="104" t="s">
        <v>188</v>
      </c>
      <c r="B15" s="105">
        <v>0</v>
      </c>
      <c r="C15" s="106" t="s">
        <v>183</v>
      </c>
    </row>
    <row r="16" spans="1:9" x14ac:dyDescent="0.15">
      <c r="A16" s="104" t="s">
        <v>189</v>
      </c>
      <c r="B16" s="105">
        <v>0</v>
      </c>
      <c r="C16" s="106" t="s">
        <v>183</v>
      </c>
    </row>
    <row r="17" spans="1:5" x14ac:dyDescent="0.15">
      <c r="A17" s="104" t="s">
        <v>190</v>
      </c>
      <c r="B17" s="105">
        <v>0.35</v>
      </c>
      <c r="C17" s="106" t="s">
        <v>183</v>
      </c>
    </row>
    <row r="18" spans="1:5" x14ac:dyDescent="0.15">
      <c r="A18" s="104" t="s">
        <v>191</v>
      </c>
      <c r="B18" s="105">
        <v>0.65</v>
      </c>
      <c r="C18" s="106" t="s">
        <v>183</v>
      </c>
    </row>
    <row r="20" spans="1:5" x14ac:dyDescent="0.15">
      <c r="A20" s="1" t="s">
        <v>194</v>
      </c>
    </row>
    <row r="21" spans="1:5" s="139" customFormat="1" ht="68.25" customHeight="1" x14ac:dyDescent="0.15">
      <c r="A21" s="349"/>
      <c r="B21" s="351" t="s">
        <v>197</v>
      </c>
      <c r="C21" s="351" t="s">
        <v>198</v>
      </c>
      <c r="D21" s="351" t="s">
        <v>209</v>
      </c>
      <c r="E21" s="352"/>
    </row>
    <row r="22" spans="1:5" s="139" customFormat="1" x14ac:dyDescent="0.15">
      <c r="A22" s="350"/>
      <c r="B22" s="352"/>
      <c r="C22" s="352"/>
      <c r="D22" s="140" t="s">
        <v>199</v>
      </c>
      <c r="E22" s="140" t="s">
        <v>200</v>
      </c>
    </row>
    <row r="23" spans="1:5" x14ac:dyDescent="0.15">
      <c r="A23" s="104" t="s">
        <v>195</v>
      </c>
      <c r="B23" s="141">
        <v>1</v>
      </c>
      <c r="C23" s="141">
        <v>0.7</v>
      </c>
      <c r="D23" s="141">
        <v>0.05</v>
      </c>
      <c r="E23" s="141">
        <v>0.15</v>
      </c>
    </row>
    <row r="24" spans="1:5" x14ac:dyDescent="0.15">
      <c r="A24" s="104" t="s">
        <v>196</v>
      </c>
      <c r="B24" s="141">
        <v>1</v>
      </c>
      <c r="C24" s="141">
        <v>0.7</v>
      </c>
      <c r="D24" s="141">
        <v>0</v>
      </c>
      <c r="E24" s="141">
        <v>0</v>
      </c>
    </row>
  </sheetData>
  <mergeCells count="4">
    <mergeCell ref="A21:A22"/>
    <mergeCell ref="B21:B22"/>
    <mergeCell ref="C21:C22"/>
    <mergeCell ref="D21:E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計算</vt:lpstr>
      <vt:lpstr>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2016-12-19T00:37:36Z</dcterms:modified>
</cp:coreProperties>
</file>