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G:\共有ドライブ\基整促E17\1.会議資料報告書\2023年度\2024年2月1日\"/>
    </mc:Choice>
  </mc:AlternateContent>
  <xr:revisionPtr revIDLastSave="0" documentId="13_ncr:1_{153B9CAB-68C7-4E18-A4B6-413FC0FE26EE}" xr6:coauthVersionLast="47" xr6:coauthVersionMax="47" xr10:uidLastSave="{00000000-0000-0000-0000-000000000000}"/>
  <bookViews>
    <workbookView xWindow="-160" yWindow="420" windowWidth="18430" windowHeight="18490" xr2:uid="{6B73A4D5-2FE4-4292-AA17-E625C71827E2}"/>
  </bookViews>
  <sheets>
    <sheet name="推計" sheetId="3" r:id="rId1"/>
    <sheet name="面積" sheetId="1" r:id="rId2"/>
    <sheet name="外壁等の仕様(戸建て)" sheetId="2" r:id="rId3"/>
    <sheet name="外壁等の仕様(共同)" sheetId="6" r:id="rId4"/>
    <sheet name="方位係数" sheetId="4" r:id="rId5"/>
    <sheet name="暖冷房日" sheetId="5" r:id="rId6"/>
  </sheets>
  <definedNames>
    <definedName name="MR_A">推計!$C$6</definedName>
    <definedName name="MR_A_C_EW">推計!$H$49</definedName>
    <definedName name="MR_A_E_EW">推計!$H$51</definedName>
    <definedName name="MR_A_N_EW">推計!$H$52</definedName>
    <definedName name="MR_A_S_EW">推計!$H$50</definedName>
    <definedName name="MR_A_W_EW">推計!$H$53</definedName>
    <definedName name="MR_VENT">推計!$H$97</definedName>
    <definedName name="MR_VOL">推計!$H$96</definedName>
    <definedName name="NO_A">推計!$C$8</definedName>
    <definedName name="NO_A_C_EW">推計!$J$49</definedName>
    <definedName name="NO_A_E_EW">推計!$J$51</definedName>
    <definedName name="NO_A_N_EW">推計!$J$52</definedName>
    <definedName name="NO_A_S_EW">推計!$J$50</definedName>
    <definedName name="NO_A_W_EW">推計!$J$53</definedName>
    <definedName name="NO_VENT">推計!$J$97</definedName>
    <definedName name="NO_VOL">推計!$J$96</definedName>
    <definedName name="OR_A">推計!$C$7</definedName>
    <definedName name="OR_A_C_EW">推計!$I$49</definedName>
    <definedName name="OR_A_E_EW">推計!$I$51</definedName>
    <definedName name="OR_A_N_EW">推計!$I$52</definedName>
    <definedName name="OR_A_S_EW">推計!$I$50</definedName>
    <definedName name="OR_A_W_EW">推計!$I$53</definedName>
    <definedName name="OR_VENT">推計!$I$97</definedName>
    <definedName name="OR_VOL">推計!$I$96</definedName>
    <definedName name="暖冷房日">暖冷房日!$A$3:$C$11</definedName>
    <definedName name="年間平均の方位係数">方位係数!$A$33:$J$42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7" i="3" l="1"/>
  <c r="J14" i="4"/>
  <c r="J13" i="4"/>
  <c r="J12" i="4"/>
  <c r="S148" i="3" s="1"/>
  <c r="J11" i="4"/>
  <c r="J10" i="4"/>
  <c r="S145" i="3" s="1"/>
  <c r="J9" i="4"/>
  <c r="J8" i="4"/>
  <c r="S146" i="3" s="1"/>
  <c r="J7" i="4"/>
  <c r="J6" i="4"/>
  <c r="S147" i="3" s="1"/>
  <c r="J5" i="4"/>
  <c r="J28" i="4"/>
  <c r="J27" i="4"/>
  <c r="J26" i="4"/>
  <c r="T148" i="3" s="1"/>
  <c r="J25" i="4"/>
  <c r="J24" i="4"/>
  <c r="T145" i="3" s="1"/>
  <c r="J23" i="4"/>
  <c r="J22" i="4"/>
  <c r="T146" i="3" s="1"/>
  <c r="J21" i="4"/>
  <c r="J20" i="4"/>
  <c r="T147" i="3" s="1"/>
  <c r="J19" i="4"/>
  <c r="X115" i="3"/>
  <c r="X114" i="3"/>
  <c r="S112" i="3"/>
  <c r="AB112" i="3" s="1"/>
  <c r="X1" i="3" a="1"/>
  <c r="X1" i="3" s="1"/>
  <c r="J5" i="1"/>
  <c r="X5" i="3" s="1"/>
  <c r="T112" i="3"/>
  <c r="W44" i="3"/>
  <c r="X60" i="3"/>
  <c r="H4" i="1"/>
  <c r="V4" i="3" s="1"/>
  <c r="F4" i="1"/>
  <c r="T4" i="3" s="1"/>
  <c r="H5" i="3" s="1"/>
  <c r="D4" i="1"/>
  <c r="R4" i="3" s="1"/>
  <c r="H4" i="3" s="1"/>
  <c r="L25" i="1"/>
  <c r="K25" i="1"/>
  <c r="J25" i="1"/>
  <c r="E25" i="1"/>
  <c r="D25" i="1"/>
  <c r="C25" i="1"/>
  <c r="J10" i="1"/>
  <c r="X6" i="3" s="1"/>
  <c r="J9" i="1"/>
  <c r="X11" i="3" s="1"/>
  <c r="J8" i="1"/>
  <c r="X10" i="3" s="1"/>
  <c r="J7" i="1"/>
  <c r="X9" i="3" s="1"/>
  <c r="J6" i="1"/>
  <c r="X8" i="3" s="1"/>
  <c r="H10" i="1"/>
  <c r="V6" i="3" s="1"/>
  <c r="F10" i="1"/>
  <c r="T6" i="3" s="1"/>
  <c r="D10" i="1"/>
  <c r="R6" i="3" s="1"/>
  <c r="F31" i="1"/>
  <c r="E31" i="1"/>
  <c r="D31" i="1"/>
  <c r="C31" i="1"/>
  <c r="D85" i="1"/>
  <c r="E85" i="1"/>
  <c r="F85" i="1"/>
  <c r="G85" i="1"/>
  <c r="H85" i="1"/>
  <c r="I85" i="1"/>
  <c r="J85" i="1"/>
  <c r="H23" i="3"/>
  <c r="X112" i="3" l="1"/>
  <c r="X7" i="3"/>
  <c r="T34" i="3"/>
  <c r="R34" i="3"/>
  <c r="Z6" i="3"/>
  <c r="Z4" i="3"/>
  <c r="X12" i="3"/>
  <c r="K71" i="3" s="1"/>
  <c r="M69" i="3" s="1"/>
  <c r="F20" i="1"/>
  <c r="T29" i="3" s="1"/>
  <c r="H20" i="1"/>
  <c r="V29" i="3" s="1"/>
  <c r="D20" i="1"/>
  <c r="R29" i="3" s="1"/>
  <c r="X13" i="3" l="1"/>
  <c r="S111" i="3"/>
  <c r="S110" i="3"/>
  <c r="S109" i="3"/>
  <c r="X109" i="3" s="1"/>
  <c r="D32" i="6"/>
  <c r="K31" i="6"/>
  <c r="D28" i="6"/>
  <c r="K27" i="6"/>
  <c r="K29" i="6" s="1"/>
  <c r="K30" i="6" s="1"/>
  <c r="D27" i="6"/>
  <c r="D30" i="6" s="1"/>
  <c r="D22" i="6"/>
  <c r="K21" i="6"/>
  <c r="D20" i="6"/>
  <c r="E21" i="6" s="1"/>
  <c r="D18" i="6"/>
  <c r="K17" i="6"/>
  <c r="K19" i="6" s="1"/>
  <c r="K20" i="6" s="1"/>
  <c r="D17" i="6"/>
  <c r="Q13" i="6"/>
  <c r="D12" i="6"/>
  <c r="Q11" i="6"/>
  <c r="Q12" i="6" s="1"/>
  <c r="K11" i="6"/>
  <c r="X10" i="6"/>
  <c r="X11" i="6" s="1"/>
  <c r="D10" i="6"/>
  <c r="E11" i="6" s="1"/>
  <c r="AA9" i="6"/>
  <c r="Z8" i="6"/>
  <c r="X8" i="6"/>
  <c r="D8" i="6"/>
  <c r="X7" i="6"/>
  <c r="AA7" i="6" s="1"/>
  <c r="K7" i="6"/>
  <c r="K9" i="6" s="1"/>
  <c r="K10" i="6" s="1"/>
  <c r="D7" i="6"/>
  <c r="AA6" i="6"/>
  <c r="H37" i="3"/>
  <c r="R52" i="3" s="1"/>
  <c r="L37" i="1"/>
  <c r="K37" i="1"/>
  <c r="J37" i="1"/>
  <c r="L36" i="1"/>
  <c r="K36" i="1"/>
  <c r="J36" i="1"/>
  <c r="L35" i="1"/>
  <c r="K35" i="1"/>
  <c r="J35" i="1"/>
  <c r="L34" i="1"/>
  <c r="K34" i="1"/>
  <c r="J34" i="1"/>
  <c r="L33" i="1"/>
  <c r="K33" i="1"/>
  <c r="J33" i="1"/>
  <c r="L32" i="1"/>
  <c r="K32" i="1"/>
  <c r="J32" i="1"/>
  <c r="L30" i="1"/>
  <c r="K30" i="1"/>
  <c r="J30" i="1"/>
  <c r="L29" i="1"/>
  <c r="K29" i="1"/>
  <c r="J29" i="1"/>
  <c r="L28" i="1"/>
  <c r="K28" i="1"/>
  <c r="J28" i="1"/>
  <c r="L27" i="1"/>
  <c r="K27" i="1"/>
  <c r="J27" i="1"/>
  <c r="L26" i="1"/>
  <c r="L31" i="1" s="1"/>
  <c r="K26" i="1"/>
  <c r="K31" i="1" s="1"/>
  <c r="C40" i="1"/>
  <c r="D19" i="1" s="1"/>
  <c r="R28" i="3" s="1"/>
  <c r="C39" i="1"/>
  <c r="D18" i="1" s="1"/>
  <c r="R27" i="3" s="1"/>
  <c r="C33" i="1"/>
  <c r="D12" i="1" s="1"/>
  <c r="R17" i="3" s="1"/>
  <c r="D33" i="1"/>
  <c r="F12" i="1" s="1"/>
  <c r="T17" i="3" s="1"/>
  <c r="E33" i="1"/>
  <c r="H12" i="1" s="1"/>
  <c r="V17" i="3" s="1"/>
  <c r="C34" i="1"/>
  <c r="D13" i="1" s="1"/>
  <c r="R18" i="3" s="1"/>
  <c r="D34" i="1"/>
  <c r="F13" i="1" s="1"/>
  <c r="T18" i="3" s="1"/>
  <c r="E34" i="1"/>
  <c r="H13" i="1" s="1"/>
  <c r="V18" i="3" s="1"/>
  <c r="C35" i="1"/>
  <c r="D14" i="1" s="1"/>
  <c r="R19" i="3" s="1"/>
  <c r="D35" i="1"/>
  <c r="F14" i="1" s="1"/>
  <c r="T19" i="3" s="1"/>
  <c r="E35" i="1"/>
  <c r="H14" i="1" s="1"/>
  <c r="V19" i="3" s="1"/>
  <c r="C36" i="1"/>
  <c r="D15" i="1" s="1"/>
  <c r="R21" i="3" s="1"/>
  <c r="D36" i="1"/>
  <c r="F15" i="1" s="1"/>
  <c r="T21" i="3" s="1"/>
  <c r="E36" i="1"/>
  <c r="H15" i="1" s="1"/>
  <c r="V21" i="3" s="1"/>
  <c r="C37" i="1"/>
  <c r="D16" i="1" s="1"/>
  <c r="R22" i="3" s="1"/>
  <c r="D37" i="1"/>
  <c r="F16" i="1" s="1"/>
  <c r="T22" i="3" s="1"/>
  <c r="E37" i="1"/>
  <c r="H16" i="1" s="1"/>
  <c r="V22" i="3" s="1"/>
  <c r="E32" i="1"/>
  <c r="H11" i="1" s="1"/>
  <c r="V16" i="3" s="1"/>
  <c r="D32" i="1"/>
  <c r="F11" i="1" s="1"/>
  <c r="T16" i="3" s="1"/>
  <c r="E26" i="1"/>
  <c r="H5" i="1" s="1"/>
  <c r="V5" i="3" s="1"/>
  <c r="V7" i="3" s="1"/>
  <c r="D26" i="1"/>
  <c r="F5" i="1" s="1"/>
  <c r="T5" i="3" s="1"/>
  <c r="C26" i="1"/>
  <c r="D5" i="1" s="1"/>
  <c r="E99" i="1"/>
  <c r="K40" i="1" s="1"/>
  <c r="C97" i="1"/>
  <c r="J40" i="1" s="1"/>
  <c r="C93" i="1"/>
  <c r="J39" i="1" s="1"/>
  <c r="C80" i="1"/>
  <c r="R5" i="3" l="1"/>
  <c r="R33" i="3" s="1"/>
  <c r="R51" i="3" s="1"/>
  <c r="X110" i="3"/>
  <c r="AB110" i="3"/>
  <c r="AB109" i="3"/>
  <c r="X111" i="3"/>
  <c r="AB111" i="3"/>
  <c r="R61" i="3"/>
  <c r="H60" i="3" s="1"/>
  <c r="H54" i="3"/>
  <c r="X22" i="3"/>
  <c r="T23" i="3"/>
  <c r="X21" i="3"/>
  <c r="R23" i="3"/>
  <c r="V23" i="3"/>
  <c r="X19" i="3"/>
  <c r="X18" i="3"/>
  <c r="V20" i="3"/>
  <c r="T20" i="3"/>
  <c r="X17" i="3"/>
  <c r="Z5" i="3"/>
  <c r="R7" i="3"/>
  <c r="T33" i="3"/>
  <c r="T51" i="3" s="1"/>
  <c r="I49" i="3" s="1"/>
  <c r="T7" i="3"/>
  <c r="T52" i="3"/>
  <c r="J26" i="1"/>
  <c r="J31" i="1" s="1"/>
  <c r="C85" i="1"/>
  <c r="D31" i="6"/>
  <c r="E31" i="6"/>
  <c r="AC8" i="6"/>
  <c r="AA10" i="6"/>
  <c r="AA8" i="6" s="1"/>
  <c r="Y8" i="6" s="1"/>
  <c r="D21" i="6"/>
  <c r="D11" i="6"/>
  <c r="T61" i="3" l="1"/>
  <c r="I60" i="3" s="1"/>
  <c r="I54" i="3"/>
  <c r="V24" i="3"/>
  <c r="X23" i="3"/>
  <c r="T24" i="3"/>
  <c r="R35" i="3"/>
  <c r="Z7" i="3"/>
  <c r="T35" i="3"/>
  <c r="D17" i="2" l="1"/>
  <c r="D47" i="1" l="1"/>
  <c r="E47" i="1"/>
  <c r="F47" i="1"/>
  <c r="G47" i="1"/>
  <c r="H47" i="1"/>
  <c r="I47" i="1"/>
  <c r="J47" i="1"/>
  <c r="K47" i="1"/>
  <c r="L47" i="1"/>
  <c r="M47" i="1"/>
  <c r="N47" i="1"/>
  <c r="O47" i="1"/>
  <c r="D48" i="1"/>
  <c r="E48" i="1"/>
  <c r="F48" i="1"/>
  <c r="G48" i="1"/>
  <c r="H48" i="1"/>
  <c r="I48" i="1"/>
  <c r="J48" i="1"/>
  <c r="K48" i="1"/>
  <c r="L48" i="1"/>
  <c r="M48" i="1"/>
  <c r="N48" i="1"/>
  <c r="O48" i="1"/>
  <c r="D49" i="1"/>
  <c r="E49" i="1"/>
  <c r="F49" i="1"/>
  <c r="G49" i="1"/>
  <c r="H49" i="1"/>
  <c r="I49" i="1"/>
  <c r="J49" i="1"/>
  <c r="K49" i="1"/>
  <c r="L49" i="1"/>
  <c r="M49" i="1"/>
  <c r="O49" i="1"/>
  <c r="D50" i="1"/>
  <c r="E50" i="1"/>
  <c r="F50" i="1"/>
  <c r="G50" i="1"/>
  <c r="H50" i="1"/>
  <c r="I50" i="1"/>
  <c r="J50" i="1"/>
  <c r="K50" i="1"/>
  <c r="L50" i="1"/>
  <c r="M50" i="1"/>
  <c r="N50" i="1"/>
  <c r="O50" i="1"/>
  <c r="C50" i="1"/>
  <c r="C49" i="1"/>
  <c r="C48" i="1"/>
  <c r="J74" i="1"/>
  <c r="N54" i="1"/>
  <c r="N49" i="1" s="1"/>
  <c r="C56" i="1"/>
  <c r="E73" i="1"/>
  <c r="D29" i="1" l="1"/>
  <c r="F8" i="1" s="1"/>
  <c r="T10" i="3" s="1"/>
  <c r="E30" i="1"/>
  <c r="H9" i="1" s="1"/>
  <c r="V11" i="3" s="1"/>
  <c r="D27" i="1"/>
  <c r="F6" i="1" s="1"/>
  <c r="T8" i="3" s="1"/>
  <c r="D40" i="1"/>
  <c r="F19" i="1" s="1"/>
  <c r="T28" i="3" s="1"/>
  <c r="C32" i="1"/>
  <c r="D11" i="1" s="1"/>
  <c r="R16" i="3" s="1"/>
  <c r="C28" i="1"/>
  <c r="D7" i="1" s="1"/>
  <c r="R9" i="3" s="1"/>
  <c r="C30" i="1"/>
  <c r="D9" i="1" s="1"/>
  <c r="R11" i="3" s="1"/>
  <c r="C29" i="1"/>
  <c r="D8" i="1" s="1"/>
  <c r="R10" i="3" s="1"/>
  <c r="D28" i="1"/>
  <c r="F7" i="1" s="1"/>
  <c r="T9" i="3" s="1"/>
  <c r="D30" i="1"/>
  <c r="F9" i="1" s="1"/>
  <c r="T11" i="3" s="1"/>
  <c r="E28" i="1"/>
  <c r="H7" i="1" s="1"/>
  <c r="V9" i="3" s="1"/>
  <c r="E27" i="1"/>
  <c r="H6" i="1" s="1"/>
  <c r="V8" i="3" s="1"/>
  <c r="E29" i="1"/>
  <c r="H8" i="1" s="1"/>
  <c r="V10" i="3" s="1"/>
  <c r="C47" i="1"/>
  <c r="T116" i="3"/>
  <c r="H30" i="3"/>
  <c r="H29" i="3"/>
  <c r="I45" i="4"/>
  <c r="H45" i="4"/>
  <c r="G45" i="4"/>
  <c r="F45" i="4"/>
  <c r="E45" i="4"/>
  <c r="D45" i="4"/>
  <c r="C45" i="4"/>
  <c r="I44" i="4"/>
  <c r="H44" i="4"/>
  <c r="G44" i="4"/>
  <c r="F44" i="4"/>
  <c r="E44" i="4"/>
  <c r="D44" i="4"/>
  <c r="C44" i="4"/>
  <c r="C46" i="4" s="1"/>
  <c r="B45" i="4"/>
  <c r="B44" i="4"/>
  <c r="I46" i="4"/>
  <c r="H46" i="4"/>
  <c r="G46" i="4"/>
  <c r="F46" i="4"/>
  <c r="E46" i="4"/>
  <c r="D46" i="4"/>
  <c r="K7" i="2"/>
  <c r="K9" i="2" s="1"/>
  <c r="K10" i="2" s="1"/>
  <c r="H33" i="3"/>
  <c r="W72" i="3" s="1"/>
  <c r="I96" i="3"/>
  <c r="I97" i="3" s="1"/>
  <c r="H96" i="3"/>
  <c r="H97" i="3" s="1"/>
  <c r="C8" i="3"/>
  <c r="X34" i="3" s="1"/>
  <c r="AC8" i="2"/>
  <c r="X7" i="2"/>
  <c r="Y8" i="2"/>
  <c r="Z8" i="2"/>
  <c r="AA8" i="2"/>
  <c r="AA7" i="2"/>
  <c r="AA6" i="2"/>
  <c r="AA9" i="2"/>
  <c r="AA10" i="2"/>
  <c r="X11" i="2"/>
  <c r="X8" i="2"/>
  <c r="X10" i="2" s="1"/>
  <c r="Q13" i="2"/>
  <c r="K11" i="2"/>
  <c r="K21" i="2"/>
  <c r="K31" i="2"/>
  <c r="D35" i="2"/>
  <c r="D22" i="2"/>
  <c r="D12" i="2"/>
  <c r="K27" i="2"/>
  <c r="K29" i="2" s="1"/>
  <c r="K30" i="2" s="1"/>
  <c r="K17" i="2"/>
  <c r="K19" i="2" s="1"/>
  <c r="K20" i="2" s="1"/>
  <c r="D29" i="2"/>
  <c r="D8" i="2"/>
  <c r="D7" i="2"/>
  <c r="X16" i="3" l="1"/>
  <c r="R20" i="3"/>
  <c r="X35" i="3"/>
  <c r="V34" i="3"/>
  <c r="Z9" i="3"/>
  <c r="Z11" i="3"/>
  <c r="Z10" i="3"/>
  <c r="J96" i="3"/>
  <c r="J97" i="3" s="1"/>
  <c r="H6" i="3"/>
  <c r="V33" i="3"/>
  <c r="V12" i="3"/>
  <c r="T12" i="3"/>
  <c r="S2" i="3"/>
  <c r="R2" i="3"/>
  <c r="C27" i="1"/>
  <c r="D6" i="1" s="1"/>
  <c r="R8" i="3" s="1"/>
  <c r="Z8" i="3" s="1"/>
  <c r="E7" i="3"/>
  <c r="I41" i="4"/>
  <c r="B46" i="4"/>
  <c r="B37" i="4" s="1"/>
  <c r="C42" i="4"/>
  <c r="C35" i="4"/>
  <c r="E40" i="4"/>
  <c r="E38" i="4"/>
  <c r="E35" i="4"/>
  <c r="E42" i="4"/>
  <c r="E33" i="4"/>
  <c r="F38" i="4"/>
  <c r="F42" i="4"/>
  <c r="F33" i="4"/>
  <c r="F40" i="4"/>
  <c r="F35" i="4"/>
  <c r="D33" i="4"/>
  <c r="J33" i="4" s="1"/>
  <c r="U125" i="3" s="1"/>
  <c r="D42" i="4"/>
  <c r="J42" i="4" s="1"/>
  <c r="G36" i="4"/>
  <c r="G42" i="4"/>
  <c r="G35" i="4"/>
  <c r="G38" i="4"/>
  <c r="G33" i="4"/>
  <c r="G40" i="4"/>
  <c r="D40" i="4"/>
  <c r="J40" i="4" s="1"/>
  <c r="U133" i="3" s="1"/>
  <c r="F36" i="4"/>
  <c r="I34" i="4"/>
  <c r="I38" i="4"/>
  <c r="I36" i="4"/>
  <c r="G34" i="4"/>
  <c r="H36" i="4"/>
  <c r="H40" i="4"/>
  <c r="H38" i="4"/>
  <c r="H33" i="4"/>
  <c r="C33" i="4"/>
  <c r="E37" i="4"/>
  <c r="H34" i="4"/>
  <c r="D35" i="4"/>
  <c r="J35" i="4" s="1"/>
  <c r="I40" i="4"/>
  <c r="H42" i="4"/>
  <c r="D34" i="4"/>
  <c r="J34" i="4" s="1"/>
  <c r="U132" i="3" s="1"/>
  <c r="I37" i="4"/>
  <c r="G39" i="4"/>
  <c r="E41" i="4"/>
  <c r="C39" i="4"/>
  <c r="D39" i="4"/>
  <c r="J39" i="4" s="1"/>
  <c r="I42" i="4"/>
  <c r="H37" i="4"/>
  <c r="D41" i="4"/>
  <c r="J41" i="4" s="1"/>
  <c r="E34" i="4"/>
  <c r="C36" i="4"/>
  <c r="H39" i="4"/>
  <c r="F41" i="4"/>
  <c r="C37" i="4"/>
  <c r="G37" i="4"/>
  <c r="E39" i="4"/>
  <c r="C34" i="4"/>
  <c r="F39" i="4"/>
  <c r="D36" i="4"/>
  <c r="J36" i="4" s="1"/>
  <c r="U131" i="3" s="1"/>
  <c r="G41" i="4"/>
  <c r="E36" i="4"/>
  <c r="C38" i="4"/>
  <c r="H41" i="4"/>
  <c r="D37" i="4"/>
  <c r="J37" i="4" s="1"/>
  <c r="I33" i="4"/>
  <c r="H35" i="4"/>
  <c r="F37" i="4"/>
  <c r="I35" i="4"/>
  <c r="C41" i="4"/>
  <c r="F34" i="4"/>
  <c r="I39" i="4"/>
  <c r="D38" i="4"/>
  <c r="J38" i="4" s="1"/>
  <c r="C40" i="4"/>
  <c r="Q11" i="2"/>
  <c r="Q12" i="2" s="1"/>
  <c r="H31" i="3"/>
  <c r="D33" i="2"/>
  <c r="D10" i="2"/>
  <c r="D20" i="2"/>
  <c r="Z33" i="3" l="1"/>
  <c r="V51" i="3"/>
  <c r="V13" i="3"/>
  <c r="J71" i="3"/>
  <c r="M68" i="3" s="1"/>
  <c r="T13" i="3"/>
  <c r="I71" i="3"/>
  <c r="M67" i="3" s="1"/>
  <c r="U130" i="3"/>
  <c r="X20" i="3"/>
  <c r="R24" i="3"/>
  <c r="X24" i="3" s="1"/>
  <c r="Z34" i="3"/>
  <c r="X52" i="3"/>
  <c r="R113" i="3" s="1"/>
  <c r="V52" i="3"/>
  <c r="V35" i="3"/>
  <c r="Z35" i="3" s="1"/>
  <c r="R12" i="3"/>
  <c r="Q2" i="3"/>
  <c r="Q1" i="3" s="1"/>
  <c r="U135" i="3"/>
  <c r="H32" i="3"/>
  <c r="U134" i="3"/>
  <c r="U129" i="3"/>
  <c r="U127" i="3"/>
  <c r="U128" i="3"/>
  <c r="U126" i="3"/>
  <c r="B40" i="4"/>
  <c r="B33" i="4"/>
  <c r="B38" i="4"/>
  <c r="B41" i="4"/>
  <c r="B42" i="4"/>
  <c r="B39" i="4"/>
  <c r="B35" i="4"/>
  <c r="B36" i="4"/>
  <c r="B34" i="4"/>
  <c r="D21" i="2"/>
  <c r="E21" i="2"/>
  <c r="D11" i="2"/>
  <c r="E11" i="2"/>
  <c r="D34" i="2"/>
  <c r="E34" i="2"/>
  <c r="K54" i="3" l="1"/>
  <c r="R13" i="3"/>
  <c r="H71" i="3"/>
  <c r="M66" i="3" s="1"/>
  <c r="Z52" i="3"/>
  <c r="X53" i="3"/>
  <c r="J54" i="3"/>
  <c r="X61" i="3"/>
  <c r="X62" i="3" s="1"/>
  <c r="Z12" i="3"/>
  <c r="V61" i="3"/>
  <c r="J60" i="3" s="1"/>
  <c r="R1" i="3"/>
  <c r="S1" i="3"/>
  <c r="R111" i="3" l="1"/>
  <c r="Z61" i="3"/>
  <c r="Z13" i="3"/>
  <c r="X40" i="3" s="1"/>
  <c r="R112" i="3" l="1"/>
  <c r="Z112" i="3" s="1"/>
  <c r="K70" i="3"/>
  <c r="L69" i="3" s="1"/>
  <c r="X41" i="3"/>
  <c r="H16" i="3"/>
  <c r="X38" i="3" s="1"/>
  <c r="X36" i="3"/>
  <c r="H12" i="3"/>
  <c r="V40" i="3"/>
  <c r="H11" i="3"/>
  <c r="T40" i="3"/>
  <c r="H10" i="3"/>
  <c r="R40" i="3"/>
  <c r="H70" i="3" s="1"/>
  <c r="H9" i="3"/>
  <c r="AH112" i="3" l="1"/>
  <c r="AD112" i="3"/>
  <c r="AE112" i="3" s="1"/>
  <c r="I70" i="3"/>
  <c r="I69" i="3" s="1"/>
  <c r="T39" i="3"/>
  <c r="H69" i="3"/>
  <c r="H15" i="3"/>
  <c r="J70" i="3"/>
  <c r="J69" i="3" s="1"/>
  <c r="X37" i="3"/>
  <c r="X55" i="3" s="1"/>
  <c r="R131" i="3" s="1"/>
  <c r="X39" i="3"/>
  <c r="X54" i="3"/>
  <c r="R130" i="3" s="1"/>
  <c r="X56" i="3"/>
  <c r="R132" i="3" s="1"/>
  <c r="Z40" i="3"/>
  <c r="H20" i="3" s="1"/>
  <c r="H13" i="3"/>
  <c r="R39" i="3" s="1"/>
  <c r="R36" i="3"/>
  <c r="R41" i="3"/>
  <c r="R37" i="3"/>
  <c r="R38" i="3"/>
  <c r="V41" i="3"/>
  <c r="V38" i="3"/>
  <c r="V37" i="3"/>
  <c r="V36" i="3"/>
  <c r="V54" i="3" s="1"/>
  <c r="T41" i="3"/>
  <c r="T38" i="3"/>
  <c r="T56" i="3" s="1"/>
  <c r="T37" i="3"/>
  <c r="T36" i="3"/>
  <c r="T54" i="3" s="1"/>
  <c r="H14" i="3"/>
  <c r="X65" i="3" l="1"/>
  <c r="K52" i="3"/>
  <c r="T63" i="3"/>
  <c r="I56" i="3" s="1"/>
  <c r="T65" i="3"/>
  <c r="I58" i="3" s="1"/>
  <c r="X63" i="3"/>
  <c r="K50" i="3"/>
  <c r="X64" i="3"/>
  <c r="K51" i="3"/>
  <c r="X57" i="3"/>
  <c r="R133" i="3" s="1"/>
  <c r="L68" i="3"/>
  <c r="L67" i="3"/>
  <c r="Z36" i="3"/>
  <c r="V39" i="3"/>
  <c r="Z38" i="3"/>
  <c r="Z37" i="3"/>
  <c r="Z41" i="3"/>
  <c r="V56" i="3"/>
  <c r="R56" i="3"/>
  <c r="V63" i="3"/>
  <c r="J56" i="3" s="1"/>
  <c r="R54" i="3"/>
  <c r="Z54" i="3" s="1"/>
  <c r="Z56" i="3" l="1"/>
  <c r="X58" i="3"/>
  <c r="X59" i="3" s="1"/>
  <c r="K53" i="3"/>
  <c r="X66" i="3"/>
  <c r="X67" i="3" s="1"/>
  <c r="X68" i="3" s="1"/>
  <c r="H19" i="3"/>
  <c r="Z39" i="3"/>
  <c r="I68" i="3"/>
  <c r="V65" i="3"/>
  <c r="J58" i="3" s="1"/>
  <c r="R65" i="3"/>
  <c r="R63" i="3"/>
  <c r="L66" i="3"/>
  <c r="H68" i="3"/>
  <c r="H67" i="3"/>
  <c r="X69" i="3" l="1"/>
  <c r="K96" i="3" s="1"/>
  <c r="K97" i="3" s="1"/>
  <c r="Z63" i="3"/>
  <c r="H56" i="3"/>
  <c r="Z65" i="3"/>
  <c r="H21" i="3"/>
  <c r="H22" i="3"/>
  <c r="H24" i="3" s="1"/>
  <c r="H58" i="3"/>
  <c r="H25" i="3" l="1"/>
  <c r="W45" i="3"/>
  <c r="W46" i="3" l="1"/>
  <c r="H26" i="3"/>
  <c r="H34" i="3"/>
  <c r="R78" i="3" s="1"/>
  <c r="T57" i="3"/>
  <c r="R57" i="3"/>
  <c r="T55" i="3"/>
  <c r="R60" i="3"/>
  <c r="V55" i="3"/>
  <c r="R55" i="3"/>
  <c r="J49" i="3"/>
  <c r="V57" i="3"/>
  <c r="W73" i="3" l="1"/>
  <c r="V80" i="3"/>
  <c r="J45" i="3" s="1"/>
  <c r="T79" i="3"/>
  <c r="I44" i="3" s="1"/>
  <c r="Z55" i="3"/>
  <c r="H49" i="3"/>
  <c r="Z51" i="3"/>
  <c r="Z57" i="3"/>
  <c r="T80" i="3"/>
  <c r="I45" i="3" s="1"/>
  <c r="T78" i="3"/>
  <c r="V83" i="3"/>
  <c r="R80" i="3"/>
  <c r="V78" i="3"/>
  <c r="R83" i="3"/>
  <c r="T81" i="3"/>
  <c r="I46" i="3" s="1"/>
  <c r="T83" i="3"/>
  <c r="V79" i="3"/>
  <c r="J44" i="3" s="1"/>
  <c r="V81" i="3"/>
  <c r="J46" i="3" s="1"/>
  <c r="R79" i="3"/>
  <c r="H44" i="3" s="1"/>
  <c r="T84" i="3"/>
  <c r="I48" i="3" s="1"/>
  <c r="V84" i="3"/>
  <c r="J48" i="3" s="1"/>
  <c r="R81" i="3"/>
  <c r="H46" i="3" s="1"/>
  <c r="R84" i="3"/>
  <c r="H48" i="3" s="1"/>
  <c r="V66" i="3"/>
  <c r="J59" i="3" s="1"/>
  <c r="V53" i="3"/>
  <c r="V60" i="3"/>
  <c r="R58" i="3"/>
  <c r="R64" i="3"/>
  <c r="V64" i="3"/>
  <c r="V58" i="3"/>
  <c r="T60" i="3"/>
  <c r="T53" i="3"/>
  <c r="R53" i="3"/>
  <c r="T64" i="3"/>
  <c r="I57" i="3" s="1"/>
  <c r="T58" i="3"/>
  <c r="R66" i="3"/>
  <c r="T66" i="3"/>
  <c r="V82" i="3" l="1"/>
  <c r="R87" i="3"/>
  <c r="R82" i="3"/>
  <c r="V89" i="3"/>
  <c r="J52" i="3" s="1"/>
  <c r="H47" i="3"/>
  <c r="R85" i="3"/>
  <c r="J47" i="3"/>
  <c r="V85" i="3"/>
  <c r="I43" i="3"/>
  <c r="T82" i="3"/>
  <c r="I47" i="3"/>
  <c r="T85" i="3"/>
  <c r="R109" i="3"/>
  <c r="R125" i="3"/>
  <c r="T88" i="3"/>
  <c r="I51" i="3" s="1"/>
  <c r="Z58" i="3"/>
  <c r="X78" i="3"/>
  <c r="X80" i="3"/>
  <c r="Z53" i="3"/>
  <c r="R146" i="3"/>
  <c r="U146" i="3" s="1"/>
  <c r="J43" i="3"/>
  <c r="T89" i="3"/>
  <c r="I52" i="3" s="1"/>
  <c r="V87" i="3"/>
  <c r="T87" i="3"/>
  <c r="H43" i="3"/>
  <c r="H45" i="3"/>
  <c r="R135" i="3"/>
  <c r="X83" i="3"/>
  <c r="R89" i="3"/>
  <c r="V88" i="3"/>
  <c r="J51" i="3" s="1"/>
  <c r="R88" i="3"/>
  <c r="X79" i="3"/>
  <c r="X81" i="3"/>
  <c r="R90" i="3"/>
  <c r="V90" i="3"/>
  <c r="J53" i="3" s="1"/>
  <c r="T90" i="3"/>
  <c r="I53" i="3" s="1"/>
  <c r="X84" i="3"/>
  <c r="T59" i="3"/>
  <c r="Z66" i="3"/>
  <c r="Z60" i="3"/>
  <c r="Z64" i="3"/>
  <c r="V59" i="3"/>
  <c r="T62" i="3"/>
  <c r="I55" i="3"/>
  <c r="T67" i="3"/>
  <c r="I59" i="3"/>
  <c r="H59" i="3"/>
  <c r="R67" i="3"/>
  <c r="H57" i="3"/>
  <c r="V62" i="3"/>
  <c r="J55" i="3"/>
  <c r="V67" i="3"/>
  <c r="J57" i="3"/>
  <c r="R59" i="3"/>
  <c r="R62" i="3"/>
  <c r="H55" i="3"/>
  <c r="X88" i="3" l="1"/>
  <c r="R127" i="3" s="1"/>
  <c r="H52" i="3"/>
  <c r="X89" i="3"/>
  <c r="R128" i="3" s="1"/>
  <c r="X90" i="3"/>
  <c r="R129" i="3" s="1"/>
  <c r="H50" i="3"/>
  <c r="X87" i="3"/>
  <c r="R126" i="3" s="1"/>
  <c r="V86" i="3"/>
  <c r="V92" i="3" s="1"/>
  <c r="R134" i="3"/>
  <c r="R86" i="3"/>
  <c r="R92" i="3" s="1"/>
  <c r="T86" i="3"/>
  <c r="T92" i="3" s="1"/>
  <c r="X85" i="3"/>
  <c r="R115" i="3" s="1"/>
  <c r="AD115" i="3" s="1"/>
  <c r="X82" i="3"/>
  <c r="R114" i="3" s="1"/>
  <c r="AD114" i="3" s="1"/>
  <c r="T68" i="3"/>
  <c r="T69" i="3" s="1"/>
  <c r="R145" i="3"/>
  <c r="U145" i="3" s="1"/>
  <c r="Z59" i="3"/>
  <c r="R91" i="3"/>
  <c r="J50" i="3"/>
  <c r="V91" i="3"/>
  <c r="I50" i="3"/>
  <c r="T91" i="3"/>
  <c r="R147" i="3"/>
  <c r="U147" i="3" s="1"/>
  <c r="H51" i="3"/>
  <c r="Z67" i="3"/>
  <c r="H53" i="3"/>
  <c r="Z62" i="3"/>
  <c r="V68" i="3"/>
  <c r="V69" i="3" s="1"/>
  <c r="R148" i="3"/>
  <c r="U148" i="3" s="1"/>
  <c r="R68" i="3"/>
  <c r="Z109" i="3"/>
  <c r="AD109" i="3"/>
  <c r="X91" i="3" l="1"/>
  <c r="R110" i="3" s="1"/>
  <c r="AD110" i="3" s="1"/>
  <c r="AH109" i="3"/>
  <c r="X86" i="3"/>
  <c r="Z115" i="3"/>
  <c r="Z114" i="3"/>
  <c r="X92" i="3"/>
  <c r="Z68" i="3"/>
  <c r="R69" i="3"/>
  <c r="AE109" i="3"/>
  <c r="AH114" i="3" l="1"/>
  <c r="AH115" i="3"/>
  <c r="AE115" i="3"/>
  <c r="AE114" i="3"/>
  <c r="Z69" i="3"/>
  <c r="Z110" i="3"/>
  <c r="AD111" i="3" l="1"/>
  <c r="Z111" i="3"/>
  <c r="Z118" i="3" s="1"/>
  <c r="Z119" i="3" s="1"/>
  <c r="AE110" i="3"/>
  <c r="AH110" i="3"/>
  <c r="AH111" i="3" l="1"/>
  <c r="AH118" i="3" s="1"/>
  <c r="AE111" i="3"/>
  <c r="AE118" i="3" s="1"/>
  <c r="AH120" i="3" l="1"/>
  <c r="AI112" i="3" s="1"/>
  <c r="AJ112" i="3" s="1"/>
  <c r="AE120" i="3"/>
  <c r="AF112" i="3" l="1"/>
  <c r="AG112" i="3"/>
  <c r="AG111" i="3"/>
  <c r="AG109" i="3"/>
  <c r="AG114" i="3"/>
  <c r="AG115" i="3"/>
  <c r="AG110" i="3"/>
  <c r="AJ111" i="3"/>
  <c r="AJ110" i="3"/>
  <c r="AJ114" i="3"/>
  <c r="AJ115" i="3"/>
  <c r="AJ109" i="3"/>
  <c r="AL110" i="3"/>
  <c r="AN110" i="3" s="1"/>
  <c r="AF109" i="3"/>
  <c r="AF111" i="3"/>
  <c r="AF110" i="3"/>
  <c r="AF115" i="3"/>
  <c r="AI110" i="3"/>
  <c r="AI115" i="3"/>
  <c r="AI109" i="3"/>
  <c r="AI114" i="3"/>
  <c r="AI111" i="3"/>
  <c r="AF114" i="3"/>
  <c r="AL109" i="3" l="1"/>
  <c r="AN109" i="3" s="1"/>
  <c r="AG118" i="3"/>
  <c r="AJ118" i="3"/>
  <c r="AL112" i="3"/>
  <c r="AN112" i="3" s="1"/>
  <c r="AL111" i="3"/>
  <c r="AN111" i="3" s="1"/>
  <c r="T127" i="3"/>
  <c r="X127" i="3" s="1"/>
  <c r="AL115" i="3"/>
  <c r="AN115" i="3" s="1"/>
  <c r="T134" i="3" s="1"/>
  <c r="X134" i="3" s="1"/>
  <c r="AL114" i="3"/>
  <c r="AN114" i="3" s="1"/>
  <c r="H79" i="3" s="1"/>
  <c r="H78" i="3" l="1"/>
  <c r="AP111" i="3"/>
  <c r="H86" i="3" s="1"/>
  <c r="H77" i="3"/>
  <c r="H80" i="3"/>
  <c r="T126" i="3"/>
  <c r="X126" i="3" s="1"/>
  <c r="H76" i="3"/>
  <c r="AP112" i="3"/>
  <c r="H87" i="3" s="1"/>
  <c r="T130" i="3"/>
  <c r="X130" i="3" s="1"/>
  <c r="T131" i="3"/>
  <c r="X131" i="3" s="1"/>
  <c r="T132" i="3"/>
  <c r="X132" i="3" s="1"/>
  <c r="T133" i="3"/>
  <c r="X133" i="3" s="1"/>
  <c r="T135" i="3"/>
  <c r="X135" i="3" s="1"/>
  <c r="T129" i="3"/>
  <c r="X129" i="3" s="1"/>
  <c r="AP110" i="3"/>
  <c r="H85" i="3" s="1"/>
  <c r="T128" i="3"/>
  <c r="X128" i="3" s="1"/>
  <c r="AP109" i="3"/>
  <c r="H84" i="3" s="1"/>
  <c r="T125" i="3"/>
  <c r="X125" i="3" s="1"/>
  <c r="H75" i="3"/>
  <c r="X136" i="3" l="1"/>
  <c r="U150" i="3" s="1"/>
  <c r="U151" i="3" s="1"/>
  <c r="G9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uda</author>
  </authors>
  <commentList>
    <comment ref="O3" authorId="0" shapeId="0" xr:uid="{28C788A9-B501-44E4-8756-4A4016B75843}">
      <text>
        <r>
          <rPr>
            <b/>
            <sz val="9"/>
            <color indexed="81"/>
            <rFont val="MS P ゴシック"/>
            <family val="3"/>
            <charset val="128"/>
          </rPr>
          <t>uda:</t>
        </r>
        <r>
          <rPr>
            <sz val="9"/>
            <color indexed="81"/>
            <rFont val="MS P ゴシック"/>
            <family val="3"/>
            <charset val="128"/>
          </rPr>
          <t xml:space="preserve">
住宅の建て方に応じた室用途ごとに集約された部位と方位ごとの面積を小数点以下2桁までに四捨五入した値。
2022年報告書
3.4.10.14 参照住戸の面積
表9. 参照住戸の面積
表10. 参照住戸の間仕切りの面積
に相当する。</t>
        </r>
      </text>
    </comment>
    <comment ref="F43" authorId="0" shapeId="0" xr:uid="{C5A24B1D-0CD2-40DC-8FA6-1FB7826424E4}">
      <text>
        <r>
          <rPr>
            <b/>
            <sz val="9"/>
            <color indexed="81"/>
            <rFont val="MS P ゴシック"/>
            <family val="3"/>
            <charset val="128"/>
          </rPr>
          <t>uda:</t>
        </r>
        <r>
          <rPr>
            <sz val="9"/>
            <color indexed="81"/>
            <rFont val="MS P ゴシック"/>
            <family val="3"/>
            <charset val="128"/>
          </rPr>
          <t xml:space="preserve">
外気に接する外皮に占める開口部面積の比率によって調整される</t>
        </r>
      </text>
    </comment>
    <comment ref="W52" authorId="0" shapeId="0" xr:uid="{65FC6E85-BDC3-45E9-A429-A2084967C2DF}">
      <text>
        <r>
          <rPr>
            <b/>
            <sz val="9"/>
            <color indexed="81"/>
            <rFont val="MS P ゴシック"/>
            <family val="3"/>
            <charset val="128"/>
          </rPr>
          <t>uda:</t>
        </r>
        <r>
          <rPr>
            <sz val="9"/>
            <color indexed="81"/>
            <rFont val="MS P ゴシック"/>
            <family val="3"/>
            <charset val="128"/>
          </rPr>
          <t xml:space="preserve">
土壌に接する</t>
        </r>
      </text>
    </comment>
    <comment ref="S109" authorId="0" shapeId="0" xr:uid="{E978D280-A69E-42AD-8E39-B39BA6259D8A}">
      <text>
        <r>
          <rPr>
            <b/>
            <sz val="9"/>
            <color indexed="81"/>
            <rFont val="MS P ゴシック"/>
            <family val="3"/>
            <charset val="128"/>
          </rPr>
          <t>uda:</t>
        </r>
        <r>
          <rPr>
            <sz val="9"/>
            <color indexed="81"/>
            <rFont val="MS P ゴシック"/>
            <family val="3"/>
            <charset val="128"/>
          </rPr>
          <t xml:space="preserve">
共同→コンクリ15cm
戸建→石膏ボード12.5cm</t>
        </r>
      </text>
    </comment>
    <comment ref="S110" authorId="0" shapeId="0" xr:uid="{B1BF75B5-5297-4E95-A895-7637DAB5B2DE}">
      <text>
        <r>
          <rPr>
            <b/>
            <sz val="9"/>
            <color indexed="81"/>
            <rFont val="MS P ゴシック"/>
            <family val="3"/>
            <charset val="128"/>
          </rPr>
          <t>uda:</t>
        </r>
        <r>
          <rPr>
            <sz val="9"/>
            <color indexed="81"/>
            <rFont val="MS P ゴシック"/>
            <family val="3"/>
            <charset val="128"/>
          </rPr>
          <t xml:space="preserve">
共同→コンクリ13.5cm</t>
        </r>
      </text>
    </comment>
    <comment ref="S112" authorId="0" shapeId="0" xr:uid="{DBD844EC-52E4-4637-A0D3-3BDADB08ECA9}">
      <text>
        <r>
          <rPr>
            <b/>
            <sz val="9"/>
            <color indexed="81"/>
            <rFont val="MS P ゴシック"/>
            <family val="3"/>
            <charset val="128"/>
          </rPr>
          <t>uda:</t>
        </r>
        <r>
          <rPr>
            <sz val="9"/>
            <color indexed="81"/>
            <rFont val="MS P ゴシック"/>
            <family val="3"/>
            <charset val="128"/>
          </rPr>
          <t xml:space="preserve">
共同→コンクリ13.5cm</t>
        </r>
      </text>
    </comment>
    <comment ref="X114" authorId="0" shapeId="0" xr:uid="{9DBA5411-54CE-492A-9B32-093156729B99}">
      <text>
        <r>
          <rPr>
            <b/>
            <sz val="9"/>
            <color indexed="81"/>
            <rFont val="MS P ゴシック"/>
            <family val="3"/>
            <charset val="128"/>
          </rPr>
          <t>uda:</t>
        </r>
        <r>
          <rPr>
            <sz val="9"/>
            <color indexed="81"/>
            <rFont val="MS P ゴシック"/>
            <family val="3"/>
            <charset val="128"/>
          </rPr>
          <t xml:space="preserve">
窓ドアの基準、最悪値はかなり適当。見直し必須。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Keisuke Nishimura</author>
    <author>uda</author>
  </authors>
  <commentList>
    <comment ref="T45" authorId="0" shapeId="0" xr:uid="{198A7813-0CC8-4EC8-84DA-401ED8E32F67}">
      <text>
        <r>
          <rPr>
            <b/>
            <sz val="9"/>
            <color indexed="81"/>
            <rFont val="MS P ゴシック"/>
            <family val="3"/>
            <charset val="128"/>
          </rPr>
          <t>Keisuke Nishimura:</t>
        </r>
        <r>
          <rPr>
            <sz val="9"/>
            <color indexed="81"/>
            <rFont val="MS P ゴシック"/>
            <family val="3"/>
            <charset val="128"/>
          </rPr>
          <t xml:space="preserve">
15.56 → 16.56m2 に修正(SimHeatの値に合わせる)</t>
        </r>
      </text>
    </comment>
    <comment ref="B46" authorId="1" shapeId="0" xr:uid="{2C3EB9AD-DEAB-4611-A290-978F863EA54D}">
      <text>
        <r>
          <rPr>
            <b/>
            <sz val="9"/>
            <color indexed="81"/>
            <rFont val="MS P ゴシック"/>
            <family val="3"/>
            <charset val="128"/>
          </rPr>
          <t>uda:</t>
        </r>
        <r>
          <rPr>
            <sz val="9"/>
            <color indexed="81"/>
            <rFont val="MS P ゴシック"/>
            <family val="3"/>
            <charset val="128"/>
          </rPr>
          <t xml:space="preserve">
上・下に分割しなければ対応できない。</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uda</author>
  </authors>
  <commentList>
    <comment ref="Q6" authorId="0" shapeId="0" xr:uid="{13F632AC-EE54-46FD-BCC9-5BA683E48B32}">
      <text>
        <r>
          <rPr>
            <b/>
            <sz val="9"/>
            <color indexed="81"/>
            <rFont val="MS P ゴシック"/>
            <family val="3"/>
            <charset val="128"/>
          </rPr>
          <t>uda:</t>
        </r>
        <r>
          <rPr>
            <sz val="9"/>
            <color indexed="81"/>
            <rFont val="MS P ゴシック"/>
            <family val="3"/>
            <charset val="128"/>
          </rPr>
          <t xml:space="preserve">
内壁の表面熱伝達抵抗が分からない</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uda</author>
  </authors>
  <commentList>
    <comment ref="Q6" authorId="0" shapeId="0" xr:uid="{71F617A2-D348-44D9-A424-5FBB8AA15049}">
      <text>
        <r>
          <rPr>
            <b/>
            <sz val="9"/>
            <color indexed="81"/>
            <rFont val="MS P ゴシック"/>
            <family val="3"/>
            <charset val="128"/>
          </rPr>
          <t>uda:</t>
        </r>
        <r>
          <rPr>
            <sz val="9"/>
            <color indexed="81"/>
            <rFont val="MS P ゴシック"/>
            <family val="3"/>
            <charset val="128"/>
          </rPr>
          <t xml:space="preserve">
内壁の表面熱伝達抵抗が分からない</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<sst xmlns="http://schemas.openxmlformats.org/spreadsheetml/2006/main" count="1262" uniqueCount="653">
  <si>
    <t>主寝室</t>
    <rPh sb="0" eb="3">
      <t>シュシンシツ</t>
    </rPh>
    <phoneticPr fontId="1"/>
  </si>
  <si>
    <t>子供室1</t>
    <rPh sb="0" eb="3">
      <t>コドモシツ</t>
    </rPh>
    <phoneticPr fontId="1"/>
  </si>
  <si>
    <t>子供室2</t>
    <rPh sb="0" eb="2">
      <t>コドモ</t>
    </rPh>
    <rPh sb="2" eb="3">
      <t>シツ</t>
    </rPh>
    <phoneticPr fontId="1"/>
  </si>
  <si>
    <t>洗面所</t>
    <rPh sb="0" eb="3">
      <t>センメンジョ</t>
    </rPh>
    <phoneticPr fontId="1"/>
  </si>
  <si>
    <t>浴室</t>
    <rPh sb="0" eb="2">
      <t>ヨクシツ</t>
    </rPh>
    <phoneticPr fontId="1"/>
  </si>
  <si>
    <t>外皮</t>
    <rPh sb="0" eb="2">
      <t>ガイヒ</t>
    </rPh>
    <phoneticPr fontId="1"/>
  </si>
  <si>
    <t>南</t>
    <rPh sb="0" eb="1">
      <t>ミナミ</t>
    </rPh>
    <phoneticPr fontId="1"/>
  </si>
  <si>
    <t>東</t>
    <rPh sb="0" eb="1">
      <t>ヒガシ</t>
    </rPh>
    <phoneticPr fontId="1"/>
  </si>
  <si>
    <t>北</t>
    <rPh sb="0" eb="1">
      <t>キタ</t>
    </rPh>
    <phoneticPr fontId="1"/>
  </si>
  <si>
    <t>西</t>
    <rPh sb="0" eb="1">
      <t>ニシ</t>
    </rPh>
    <phoneticPr fontId="1"/>
  </si>
  <si>
    <t>小計</t>
    <rPh sb="0" eb="2">
      <t>ショウケイ</t>
    </rPh>
    <phoneticPr fontId="1"/>
  </si>
  <si>
    <t>窓</t>
    <rPh sb="0" eb="1">
      <t>マド</t>
    </rPh>
    <phoneticPr fontId="1"/>
  </si>
  <si>
    <t>ドア</t>
    <phoneticPr fontId="1"/>
  </si>
  <si>
    <t>間仕切り</t>
    <rPh sb="0" eb="3">
      <t>マジキ</t>
    </rPh>
    <phoneticPr fontId="1"/>
  </si>
  <si>
    <t>間仕切り＝石膏ボード</t>
    <rPh sb="0" eb="3">
      <t>マジキ</t>
    </rPh>
    <rPh sb="5" eb="7">
      <t>セッコウ</t>
    </rPh>
    <phoneticPr fontId="1"/>
  </si>
  <si>
    <t>外壁=コンクリート 135mm or 150mm + XPS</t>
    <rPh sb="0" eb="2">
      <t>ガイヘキ</t>
    </rPh>
    <phoneticPr fontId="1"/>
  </si>
  <si>
    <t>非居室</t>
    <rPh sb="0" eb="3">
      <t>ヒキョシツ</t>
    </rPh>
    <phoneticPr fontId="1"/>
  </si>
  <si>
    <t>コンクリート</t>
    <phoneticPr fontId="1"/>
  </si>
  <si>
    <t>材料</t>
    <rPh sb="0" eb="2">
      <t>ザイリョウ</t>
    </rPh>
    <phoneticPr fontId="1"/>
  </si>
  <si>
    <t>厚さ</t>
    <rPh sb="0" eb="1">
      <t>アツ</t>
    </rPh>
    <phoneticPr fontId="1"/>
  </si>
  <si>
    <t>λ</t>
    <phoneticPr fontId="1"/>
  </si>
  <si>
    <t>熱抵抗</t>
    <rPh sb="0" eb="3">
      <t>ネツテイコウ</t>
    </rPh>
    <phoneticPr fontId="1"/>
  </si>
  <si>
    <t>断熱材</t>
    <rPh sb="0" eb="3">
      <t>ダンネツザイ</t>
    </rPh>
    <phoneticPr fontId="1"/>
  </si>
  <si>
    <t>熱抵抗の合計</t>
    <rPh sb="0" eb="3">
      <t>ネツテイコウ</t>
    </rPh>
    <rPh sb="4" eb="6">
      <t>ゴウケイ</t>
    </rPh>
    <phoneticPr fontId="1"/>
  </si>
  <si>
    <t>床</t>
    <rPh sb="0" eb="1">
      <t>ユカ</t>
    </rPh>
    <phoneticPr fontId="1"/>
  </si>
  <si>
    <t>屋根</t>
    <rPh sb="0" eb="2">
      <t>ヤネ</t>
    </rPh>
    <phoneticPr fontId="1"/>
  </si>
  <si>
    <t>外壁</t>
    <rPh sb="0" eb="2">
      <t>ガイヘキ</t>
    </rPh>
    <phoneticPr fontId="1"/>
  </si>
  <si>
    <t>外気に接する外壁等</t>
    <rPh sb="0" eb="2">
      <t>ガイキ</t>
    </rPh>
    <rPh sb="3" eb="4">
      <t>セッ</t>
    </rPh>
    <rPh sb="6" eb="9">
      <t>ガイヘキトウ</t>
    </rPh>
    <phoneticPr fontId="1"/>
  </si>
  <si>
    <t>外気に接しない外壁等（界壁等）</t>
    <rPh sb="0" eb="2">
      <t>ガイキ</t>
    </rPh>
    <rPh sb="3" eb="4">
      <t>セッ</t>
    </rPh>
    <rPh sb="7" eb="10">
      <t>ガイヘキトウ</t>
    </rPh>
    <rPh sb="11" eb="13">
      <t>カイヘキ</t>
    </rPh>
    <rPh sb="13" eb="14">
      <t>トウ</t>
    </rPh>
    <phoneticPr fontId="1"/>
  </si>
  <si>
    <t>界壁</t>
    <rPh sb="0" eb="2">
      <t>カイヘキ</t>
    </rPh>
    <phoneticPr fontId="1"/>
  </si>
  <si>
    <t>内壁</t>
    <rPh sb="0" eb="2">
      <t>ナイヘキ</t>
    </rPh>
    <phoneticPr fontId="1"/>
  </si>
  <si>
    <t>石膏ボード</t>
    <rPh sb="0" eb="2">
      <t>セッコウ</t>
    </rPh>
    <phoneticPr fontId="1"/>
  </si>
  <si>
    <t>JIS製品規格｜補足情報｜サポート｜吉野石膏 (yoshino-gypsum.com)</t>
  </si>
  <si>
    <t>熱容量 [kW/m2K]</t>
    <rPh sb="0" eb="3">
      <t>ネツヨウリョウ</t>
    </rPh>
    <phoneticPr fontId="1"/>
  </si>
  <si>
    <t>熱貫流率 [m2K/W]</t>
    <rPh sb="0" eb="4">
      <t>ネツカンリュウリツ</t>
    </rPh>
    <phoneticPr fontId="1"/>
  </si>
  <si>
    <t>調整項目</t>
    <rPh sb="0" eb="4">
      <t>チョウセイコウモク</t>
    </rPh>
    <phoneticPr fontId="1"/>
  </si>
  <si>
    <t>下階側界床</t>
    <rPh sb="0" eb="1">
      <t>シタ</t>
    </rPh>
    <rPh sb="1" eb="2">
      <t>カイ</t>
    </rPh>
    <rPh sb="2" eb="3">
      <t>ガワ</t>
    </rPh>
    <rPh sb="3" eb="4">
      <t>カイ</t>
    </rPh>
    <rPh sb="4" eb="5">
      <t>ユカ</t>
    </rPh>
    <phoneticPr fontId="1"/>
  </si>
  <si>
    <t>上階側界床</t>
    <rPh sb="0" eb="1">
      <t>ウエ</t>
    </rPh>
    <rPh sb="1" eb="2">
      <t>カイ</t>
    </rPh>
    <rPh sb="2" eb="3">
      <t>ガワ</t>
    </rPh>
    <rPh sb="3" eb="4">
      <t>カイ</t>
    </rPh>
    <rPh sb="4" eb="5">
      <t>ユカ</t>
    </rPh>
    <phoneticPr fontId="1"/>
  </si>
  <si>
    <t>対象住戸の室内側表面熱伝達抵抗</t>
    <rPh sb="0" eb="4">
      <t>タイショウジュウコ</t>
    </rPh>
    <rPh sb="5" eb="8">
      <t>シツナイガワ</t>
    </rPh>
    <rPh sb="8" eb="13">
      <t>ヒョウメンネツデンタツ</t>
    </rPh>
    <rPh sb="13" eb="15">
      <t>テイコウ</t>
    </rPh>
    <phoneticPr fontId="1"/>
  </si>
  <si>
    <t>室内側表面熱伝達抵抗</t>
    <rPh sb="0" eb="2">
      <t>シツナイ</t>
    </rPh>
    <rPh sb="2" eb="3">
      <t>ガワ</t>
    </rPh>
    <rPh sb="3" eb="5">
      <t>ヒョウメン</t>
    </rPh>
    <rPh sb="5" eb="6">
      <t>ネツ</t>
    </rPh>
    <rPh sb="6" eb="8">
      <t>デンタツ</t>
    </rPh>
    <rPh sb="8" eb="10">
      <t>テイコウ</t>
    </rPh>
    <phoneticPr fontId="1"/>
  </si>
  <si>
    <t>外気側表面熱伝達抵抗</t>
    <rPh sb="0" eb="3">
      <t>ガイキガワ</t>
    </rPh>
    <rPh sb="3" eb="5">
      <t>ヒョウメン</t>
    </rPh>
    <rPh sb="5" eb="6">
      <t>ネツ</t>
    </rPh>
    <rPh sb="6" eb="8">
      <t>デンタツ</t>
    </rPh>
    <rPh sb="8" eb="10">
      <t>テイコウ</t>
    </rPh>
    <phoneticPr fontId="1"/>
  </si>
  <si>
    <t>隣接住戸の室内側表面熱伝達抵抗</t>
    <rPh sb="0" eb="4">
      <t>リンセツジュウコ</t>
    </rPh>
    <rPh sb="5" eb="7">
      <t>シツナイ</t>
    </rPh>
    <rPh sb="7" eb="8">
      <t>ガワ</t>
    </rPh>
    <rPh sb="8" eb="10">
      <t>ヒョウメン</t>
    </rPh>
    <rPh sb="10" eb="11">
      <t>ネツ</t>
    </rPh>
    <rPh sb="11" eb="13">
      <t>デンタツ</t>
    </rPh>
    <rPh sb="13" eb="15">
      <t>テイコウ</t>
    </rPh>
    <phoneticPr fontId="1"/>
  </si>
  <si>
    <t>3-2_160715_v07_PVer0201.pdf (kenken.go.jp)</t>
  </si>
  <si>
    <t>空気層(厚さ1cm以上)</t>
    <rPh sb="0" eb="3">
      <t>クウキソウ</t>
    </rPh>
    <rPh sb="4" eb="5">
      <t>アツ</t>
    </rPh>
    <rPh sb="9" eb="11">
      <t>イジョウ</t>
    </rPh>
    <phoneticPr fontId="1"/>
  </si>
  <si>
    <t>??</t>
    <phoneticPr fontId="1"/>
  </si>
  <si>
    <t>???</t>
    <phoneticPr fontId="1"/>
  </si>
  <si>
    <t>表面熱伝達率</t>
    <rPh sb="0" eb="6">
      <t>ヒョウメンネツデンタツリツ</t>
    </rPh>
    <phoneticPr fontId="1"/>
  </si>
  <si>
    <t>主居室</t>
    <rPh sb="0" eb="3">
      <t>シュキョシツ</t>
    </rPh>
    <phoneticPr fontId="1"/>
  </si>
  <si>
    <t>その他居室</t>
    <rPh sb="2" eb="5">
      <t>ホカキョシツ</t>
    </rPh>
    <phoneticPr fontId="1"/>
  </si>
  <si>
    <t>延床面積</t>
    <rPh sb="0" eb="4">
      <t>ノベユカメンセキ</t>
    </rPh>
    <phoneticPr fontId="1"/>
  </si>
  <si>
    <t>主たる居室の面積</t>
    <rPh sb="0" eb="1">
      <t>シュ</t>
    </rPh>
    <rPh sb="3" eb="5">
      <t>キョシツ</t>
    </rPh>
    <rPh sb="6" eb="8">
      <t>メンセキ</t>
    </rPh>
    <phoneticPr fontId="1"/>
  </si>
  <si>
    <t>その他の居室の面積</t>
    <rPh sb="2" eb="3">
      <t>ホカ</t>
    </rPh>
    <rPh sb="4" eb="6">
      <t>キョシツ</t>
    </rPh>
    <rPh sb="7" eb="9">
      <t>メンセキ</t>
    </rPh>
    <phoneticPr fontId="1"/>
  </si>
  <si>
    <t>非居室面積</t>
    <rPh sb="0" eb="5">
      <t>ヒキョシツメンセキ</t>
    </rPh>
    <phoneticPr fontId="1"/>
  </si>
  <si>
    <t>外皮総面積</t>
    <rPh sb="0" eb="5">
      <t>ガイヒソウメンセキ</t>
    </rPh>
    <phoneticPr fontId="1"/>
  </si>
  <si>
    <t>主たる居室の床面積の入力値との比率</t>
    <rPh sb="0" eb="1">
      <t>シュ</t>
    </rPh>
    <rPh sb="3" eb="5">
      <t>キョシツ</t>
    </rPh>
    <rPh sb="6" eb="7">
      <t>ユカ</t>
    </rPh>
    <rPh sb="7" eb="9">
      <t>メンセキ</t>
    </rPh>
    <rPh sb="10" eb="13">
      <t>ニュウリョクアタイ</t>
    </rPh>
    <rPh sb="15" eb="17">
      <t>ヒリツ</t>
    </rPh>
    <phoneticPr fontId="1"/>
  </si>
  <si>
    <t>その他の居室の床面積の入力値との比率</t>
    <rPh sb="2" eb="3">
      <t>ホカ</t>
    </rPh>
    <rPh sb="4" eb="6">
      <t>キョシツ</t>
    </rPh>
    <rPh sb="7" eb="8">
      <t>ユカ</t>
    </rPh>
    <rPh sb="8" eb="10">
      <t>メンセキ</t>
    </rPh>
    <rPh sb="11" eb="14">
      <t>ニュウリョクアタイ</t>
    </rPh>
    <rPh sb="16" eb="18">
      <t>ヒリツ</t>
    </rPh>
    <phoneticPr fontId="1"/>
  </si>
  <si>
    <t>非居室の床面積の入力値の比率</t>
    <rPh sb="0" eb="3">
      <t>ヒキョシツ</t>
    </rPh>
    <rPh sb="4" eb="5">
      <t>ユカ</t>
    </rPh>
    <rPh sb="5" eb="7">
      <t>メンセキ</t>
    </rPh>
    <rPh sb="8" eb="11">
      <t>ニュウリョクアタイ</t>
    </rPh>
    <rPh sb="12" eb="14">
      <t>ヒリツ</t>
    </rPh>
    <phoneticPr fontId="1"/>
  </si>
  <si>
    <t>外皮平均熱貫流率</t>
    <rPh sb="0" eb="8">
      <t>ガイヒヘイキンネツカンリュウリツ</t>
    </rPh>
    <phoneticPr fontId="1"/>
  </si>
  <si>
    <t>暖房期平均日射熱取得率</t>
    <rPh sb="0" eb="3">
      <t>ダンボウキ</t>
    </rPh>
    <rPh sb="3" eb="11">
      <t>ヘイキンニッシャネツシュトクリツ</t>
    </rPh>
    <phoneticPr fontId="1"/>
  </si>
  <si>
    <t>冷房期平均日射熱取得率</t>
    <rPh sb="0" eb="3">
      <t>レイボウキ</t>
    </rPh>
    <rPh sb="3" eb="11">
      <t>ヘイキンニッシャネツシュトクリツ</t>
    </rPh>
    <phoneticPr fontId="1"/>
  </si>
  <si>
    <t>地域区分</t>
    <rPh sb="0" eb="4">
      <t>チイキクブン</t>
    </rPh>
    <phoneticPr fontId="1"/>
  </si>
  <si>
    <t>暖房度日、冷房度日</t>
    <rPh sb="0" eb="2">
      <t>ダンボウ</t>
    </rPh>
    <rPh sb="2" eb="3">
      <t>ド</t>
    </rPh>
    <rPh sb="3" eb="4">
      <t>ヒ</t>
    </rPh>
    <rPh sb="5" eb="7">
      <t>レイボウ</t>
    </rPh>
    <rPh sb="7" eb="8">
      <t>ド</t>
    </rPh>
    <rPh sb="8" eb="9">
      <t>ヒ</t>
    </rPh>
    <phoneticPr fontId="1"/>
  </si>
  <si>
    <t>暖房度日</t>
    <rPh sb="0" eb="2">
      <t>ダンボウ</t>
    </rPh>
    <rPh sb="2" eb="3">
      <t>ド</t>
    </rPh>
    <rPh sb="3" eb="4">
      <t>ヒ</t>
    </rPh>
    <phoneticPr fontId="1"/>
  </si>
  <si>
    <t>冷房度日</t>
    <rPh sb="0" eb="2">
      <t>レイボウ</t>
    </rPh>
    <rPh sb="2" eb="3">
      <t>ド</t>
    </rPh>
    <rPh sb="3" eb="4">
      <t>ヒ</t>
    </rPh>
    <phoneticPr fontId="1"/>
  </si>
  <si>
    <t>暖房度日</t>
    <rPh sb="0" eb="3">
      <t>ダンボウド</t>
    </rPh>
    <rPh sb="3" eb="4">
      <t>ヒ</t>
    </rPh>
    <phoneticPr fontId="1"/>
  </si>
  <si>
    <t>年間平均日射熱取得率</t>
    <rPh sb="0" eb="4">
      <t>ネンカンヘイキン</t>
    </rPh>
    <rPh sb="4" eb="10">
      <t>ニッシャネツシュトクリツ</t>
    </rPh>
    <phoneticPr fontId="1"/>
  </si>
  <si>
    <t>外気に接する外皮に占める開口部面積の比率</t>
    <rPh sb="0" eb="2">
      <t>ガイキ</t>
    </rPh>
    <rPh sb="3" eb="4">
      <t>セッ</t>
    </rPh>
    <rPh sb="6" eb="8">
      <t>ガイヒ</t>
    </rPh>
    <rPh sb="9" eb="10">
      <t>シ</t>
    </rPh>
    <rPh sb="12" eb="15">
      <t>カイコウブ</t>
    </rPh>
    <rPh sb="15" eb="17">
      <t>メンセキ</t>
    </rPh>
    <rPh sb="18" eb="20">
      <t>ヒリツ</t>
    </rPh>
    <phoneticPr fontId="1"/>
  </si>
  <si>
    <t>総外皮に占める外気に接する外皮面積の比率</t>
    <rPh sb="0" eb="3">
      <t>ソウガイヒ</t>
    </rPh>
    <rPh sb="4" eb="5">
      <t>シ</t>
    </rPh>
    <rPh sb="7" eb="9">
      <t>ガイキ</t>
    </rPh>
    <rPh sb="10" eb="11">
      <t>セッ</t>
    </rPh>
    <rPh sb="13" eb="17">
      <t>ガイヒメンセキ</t>
    </rPh>
    <rPh sb="18" eb="20">
      <t>ヒリツ</t>
    </rPh>
    <phoneticPr fontId="1"/>
  </si>
  <si>
    <t>外気に接する外皮の面積の合計</t>
    <rPh sb="0" eb="2">
      <t>ガイキ</t>
    </rPh>
    <rPh sb="3" eb="4">
      <t>セッ</t>
    </rPh>
    <rPh sb="6" eb="8">
      <t>ガイヒ</t>
    </rPh>
    <rPh sb="9" eb="11">
      <t>メンセキ</t>
    </rPh>
    <rPh sb="12" eb="14">
      <t>ゴウケイ</t>
    </rPh>
    <phoneticPr fontId="1"/>
  </si>
  <si>
    <t>開口部面積</t>
    <rPh sb="0" eb="5">
      <t>カイコウブメンセキ</t>
    </rPh>
    <phoneticPr fontId="1"/>
  </si>
  <si>
    <t>↓最悪値</t>
    <rPh sb="1" eb="4">
      <t>サイアクアタイ</t>
    </rPh>
    <phoneticPr fontId="1"/>
  </si>
  <si>
    <t>表面熱伝達抵抗</t>
    <rPh sb="0" eb="7">
      <t>ヒョウメンネツデンタツテイコウ</t>
    </rPh>
    <phoneticPr fontId="1"/>
  </si>
  <si>
    <t>基準断熱厚</t>
    <rPh sb="0" eb="2">
      <t>キジュン</t>
    </rPh>
    <rPh sb="2" eb="4">
      <t>ダンネツ</t>
    </rPh>
    <rPh sb="4" eb="5">
      <t>アツ</t>
    </rPh>
    <phoneticPr fontId="1"/>
  </si>
  <si>
    <t>q余裕 [W/K]</t>
    <rPh sb="1" eb="3">
      <t>ヨユウ</t>
    </rPh>
    <phoneticPr fontId="1"/>
  </si>
  <si>
    <t>割り当てq [W/K]</t>
    <rPh sb="0" eb="1">
      <t>ワ</t>
    </rPh>
    <rPh sb="2" eb="3">
      <t>ア</t>
    </rPh>
    <phoneticPr fontId="1"/>
  </si>
  <si>
    <t>q [W/K]</t>
    <phoneticPr fontId="1"/>
  </si>
  <si>
    <t>割り当てq</t>
    <rPh sb="0" eb="1">
      <t>ワ</t>
    </rPh>
    <rPh sb="2" eb="3">
      <t>ア</t>
    </rPh>
    <phoneticPr fontId="1"/>
  </si>
  <si>
    <t>その他居室</t>
    <rPh sb="2" eb="3">
      <t>ホカ</t>
    </rPh>
    <rPh sb="3" eb="5">
      <t>キョシツ</t>
    </rPh>
    <phoneticPr fontId="1"/>
  </si>
  <si>
    <t>非居室</t>
    <rPh sb="0" eb="1">
      <t>ヒ</t>
    </rPh>
    <rPh sb="1" eb="3">
      <t>キョシツ</t>
    </rPh>
    <phoneticPr fontId="1"/>
  </si>
  <si>
    <t>その他の居室</t>
    <rPh sb="2" eb="3">
      <t>ホカ</t>
    </rPh>
    <rPh sb="4" eb="6">
      <t>キョシツ</t>
    </rPh>
    <phoneticPr fontId="1"/>
  </si>
  <si>
    <t>主居室</t>
    <rPh sb="0" eb="1">
      <t>シュ</t>
    </rPh>
    <rPh sb="1" eb="3">
      <t>キョシツ</t>
    </rPh>
    <phoneticPr fontId="1"/>
  </si>
  <si>
    <t>外気に接する屋根</t>
    <rPh sb="0" eb="2">
      <t>ガイキ</t>
    </rPh>
    <rPh sb="3" eb="4">
      <t>セッ</t>
    </rPh>
    <rPh sb="6" eb="8">
      <t>ヤネ</t>
    </rPh>
    <phoneticPr fontId="1"/>
  </si>
  <si>
    <t>U値</t>
    <rPh sb="1" eb="2">
      <t>アタイ</t>
    </rPh>
    <phoneticPr fontId="1"/>
  </si>
  <si>
    <t>開口部の日射熱取得量</t>
    <rPh sb="0" eb="3">
      <t>カイコウブ</t>
    </rPh>
    <rPh sb="4" eb="10">
      <t>ニッシャネツシュトクリョウ</t>
    </rPh>
    <phoneticPr fontId="1"/>
  </si>
  <si>
    <t>方位係数</t>
    <rPh sb="0" eb="2">
      <t>ホウイ</t>
    </rPh>
    <rPh sb="2" eb="4">
      <t>ケイスウ</t>
    </rPh>
    <phoneticPr fontId="1"/>
  </si>
  <si>
    <t>冷房期の方位係数</t>
  </si>
  <si>
    <t>暖房期の方位係数</t>
    <rPh sb="0" eb="2">
      <t>ダンボウ</t>
    </rPh>
    <rPh sb="2" eb="3">
      <t>キ</t>
    </rPh>
    <rPh sb="4" eb="6">
      <t>ホウイ</t>
    </rPh>
    <rPh sb="6" eb="8">
      <t>ケイスウ</t>
    </rPh>
    <phoneticPr fontId="1"/>
  </si>
  <si>
    <t>地域区分</t>
    <rPh sb="0" eb="2">
      <t>チイキ</t>
    </rPh>
    <rPh sb="2" eb="4">
      <t>クブン</t>
    </rPh>
    <phoneticPr fontId="1"/>
  </si>
  <si>
    <t>方位</t>
    <rPh sb="0" eb="2">
      <t>ホウイ</t>
    </rPh>
    <phoneticPr fontId="1"/>
  </si>
  <si>
    <t>屋根・上面</t>
    <rPh sb="0" eb="2">
      <t>ヤネ</t>
    </rPh>
    <rPh sb="3" eb="5">
      <t>ジョウメン</t>
    </rPh>
    <phoneticPr fontId="1"/>
  </si>
  <si>
    <t>北東</t>
    <rPh sb="0" eb="2">
      <t>ホクトウ</t>
    </rPh>
    <phoneticPr fontId="1"/>
  </si>
  <si>
    <t>南東</t>
    <rPh sb="0" eb="2">
      <t>ナントウ</t>
    </rPh>
    <phoneticPr fontId="1"/>
  </si>
  <si>
    <t>南西</t>
    <rPh sb="0" eb="2">
      <t>ナンセイ</t>
    </rPh>
    <phoneticPr fontId="1"/>
  </si>
  <si>
    <t>北西</t>
    <rPh sb="0" eb="2">
      <t>ホクセイ</t>
    </rPh>
    <phoneticPr fontId="1"/>
  </si>
  <si>
    <t>下面</t>
    <rPh sb="0" eb="2">
      <t>カメン</t>
    </rPh>
    <phoneticPr fontId="1"/>
  </si>
  <si>
    <t>年間平均の方位係数</t>
    <rPh sb="0" eb="2">
      <t>ネンカン</t>
    </rPh>
    <rPh sb="2" eb="4">
      <t>ヘイキン</t>
    </rPh>
    <rPh sb="5" eb="7">
      <t>ホウイ</t>
    </rPh>
    <rPh sb="7" eb="9">
      <t>ケイスウ</t>
    </rPh>
    <phoneticPr fontId="1"/>
  </si>
  <si>
    <t>合計</t>
    <rPh sb="0" eb="2">
      <t>ゴウケイ</t>
    </rPh>
    <phoneticPr fontId="1"/>
  </si>
  <si>
    <t>選択された地域</t>
    <rPh sb="0" eb="2">
      <t>センタク</t>
    </rPh>
    <rPh sb="5" eb="7">
      <t>チイキ</t>
    </rPh>
    <phoneticPr fontId="1"/>
  </si>
  <si>
    <t>按分比</t>
    <rPh sb="0" eb="2">
      <t>アンブン</t>
    </rPh>
    <rPh sb="2" eb="3">
      <t>ヒ</t>
    </rPh>
    <phoneticPr fontId="1"/>
  </si>
  <si>
    <t>窓の方位</t>
    <rPh sb="0" eb="1">
      <t>マド</t>
    </rPh>
    <rPh sb="2" eb="4">
      <t>ホウイ</t>
    </rPh>
    <phoneticPr fontId="1"/>
  </si>
  <si>
    <t>〇窓に割り当てられた日射熱取得量を方位係数を考慮しつつ、面積で割って日射熱取得率にする</t>
    <rPh sb="1" eb="2">
      <t>マド</t>
    </rPh>
    <rPh sb="3" eb="4">
      <t>ワ</t>
    </rPh>
    <rPh sb="5" eb="6">
      <t>ア</t>
    </rPh>
    <rPh sb="10" eb="12">
      <t>ニッシャ</t>
    </rPh>
    <rPh sb="12" eb="13">
      <t>ネツ</t>
    </rPh>
    <rPh sb="13" eb="15">
      <t>シュトク</t>
    </rPh>
    <rPh sb="15" eb="16">
      <t>リョウ</t>
    </rPh>
    <rPh sb="17" eb="19">
      <t>ホウイ</t>
    </rPh>
    <rPh sb="19" eb="21">
      <t>ケイスウ</t>
    </rPh>
    <rPh sb="22" eb="24">
      <t>コウリョ</t>
    </rPh>
    <rPh sb="28" eb="30">
      <t>メンセキ</t>
    </rPh>
    <rPh sb="31" eb="32">
      <t>ワ</t>
    </rPh>
    <rPh sb="34" eb="36">
      <t>ニッシャ</t>
    </rPh>
    <rPh sb="36" eb="37">
      <t>ネツ</t>
    </rPh>
    <rPh sb="37" eb="40">
      <t>シュトクリツ</t>
    </rPh>
    <phoneticPr fontId="1"/>
  </si>
  <si>
    <t>外気に接する部位</t>
    <rPh sb="0" eb="2">
      <t>ガイキ</t>
    </rPh>
    <rPh sb="3" eb="4">
      <t>セッ</t>
    </rPh>
    <rPh sb="6" eb="8">
      <t>ブイ</t>
    </rPh>
    <phoneticPr fontId="1"/>
  </si>
  <si>
    <t>〇窓以外の日射熱取得量はU値から計算される</t>
    <rPh sb="1" eb="2">
      <t>マド</t>
    </rPh>
    <rPh sb="2" eb="4">
      <t>イガイ</t>
    </rPh>
    <rPh sb="5" eb="7">
      <t>ニッシャ</t>
    </rPh>
    <rPh sb="7" eb="8">
      <t>ネツ</t>
    </rPh>
    <rPh sb="8" eb="10">
      <t>シュトク</t>
    </rPh>
    <rPh sb="10" eb="11">
      <t>リョウ</t>
    </rPh>
    <rPh sb="13" eb="14">
      <t>アタイ</t>
    </rPh>
    <rPh sb="16" eb="18">
      <t>ケイサン</t>
    </rPh>
    <phoneticPr fontId="1"/>
  </si>
  <si>
    <t>窓の垂直面日射熱取得率</t>
    <rPh sb="0" eb="1">
      <t>マド</t>
    </rPh>
    <rPh sb="2" eb="4">
      <t>スイチョク</t>
    </rPh>
    <rPh sb="4" eb="5">
      <t>メン</t>
    </rPh>
    <rPh sb="5" eb="11">
      <t>ニッシャネツシュトクリツ</t>
    </rPh>
    <phoneticPr fontId="1"/>
  </si>
  <si>
    <t>日射熱取得量 [W/(W/㎡)]</t>
    <rPh sb="0" eb="2">
      <t>ニッシャ</t>
    </rPh>
    <rPh sb="2" eb="3">
      <t>ネツ</t>
    </rPh>
    <rPh sb="3" eb="5">
      <t>シュトク</t>
    </rPh>
    <rPh sb="5" eb="6">
      <t>リョウ</t>
    </rPh>
    <phoneticPr fontId="1"/>
  </si>
  <si>
    <t>W/(W/㎡)</t>
    <phoneticPr fontId="1"/>
  </si>
  <si>
    <t>(W/㎡)/(W/㎡)</t>
    <phoneticPr fontId="1"/>
  </si>
  <si>
    <t>外気に接する屋根</t>
  </si>
  <si>
    <t>外気に接する外壁等</t>
  </si>
  <si>
    <t>日射熱取得率</t>
    <phoneticPr fontId="1"/>
  </si>
  <si>
    <t>③推定結果</t>
    <rPh sb="1" eb="3">
      <t>スイテイ</t>
    </rPh>
    <rPh sb="3" eb="5">
      <t>ケッカ</t>
    </rPh>
    <phoneticPr fontId="1"/>
  </si>
  <si>
    <t>②大まかな推定</t>
    <rPh sb="1" eb="2">
      <t>オオ</t>
    </rPh>
    <rPh sb="5" eb="7">
      <t>スイテイ</t>
    </rPh>
    <phoneticPr fontId="1"/>
  </si>
  <si>
    <t>①入力条件</t>
    <rPh sb="1" eb="3">
      <t>ニュウリョク</t>
    </rPh>
    <rPh sb="3" eb="5">
      <t>ジョウケン</t>
    </rPh>
    <phoneticPr fontId="1"/>
  </si>
  <si>
    <t>㎡</t>
    <phoneticPr fontId="1"/>
  </si>
  <si>
    <t>W/㎡K</t>
    <phoneticPr fontId="1"/>
  </si>
  <si>
    <t>〇居室の面積の補正比率</t>
    <rPh sb="1" eb="3">
      <t>キョシツ</t>
    </rPh>
    <rPh sb="4" eb="6">
      <t>メンセキ</t>
    </rPh>
    <rPh sb="7" eb="9">
      <t>ホセイ</t>
    </rPh>
    <rPh sb="9" eb="11">
      <t>ヒリツ</t>
    </rPh>
    <phoneticPr fontId="1"/>
  </si>
  <si>
    <t>〇垂直外皮の面積の推定</t>
    <rPh sb="1" eb="3">
      <t>スイチョク</t>
    </rPh>
    <rPh sb="3" eb="5">
      <t>ガイヒ</t>
    </rPh>
    <rPh sb="6" eb="8">
      <t>メンセキ</t>
    </rPh>
    <rPh sb="9" eb="11">
      <t>スイテイ</t>
    </rPh>
    <phoneticPr fontId="1"/>
  </si>
  <si>
    <t>外皮面積</t>
    <rPh sb="0" eb="2">
      <t>ガイヒ</t>
    </rPh>
    <rPh sb="2" eb="4">
      <t>メンセキ</t>
    </rPh>
    <phoneticPr fontId="1"/>
  </si>
  <si>
    <t>内壁面積</t>
    <rPh sb="0" eb="2">
      <t>ナイヘキ</t>
    </rPh>
    <rPh sb="2" eb="4">
      <t>メンセキ</t>
    </rPh>
    <phoneticPr fontId="1"/>
  </si>
  <si>
    <t>〇総外皮に占める外気に接する外皮面積の比率</t>
    <phoneticPr fontId="1"/>
  </si>
  <si>
    <t>容積</t>
    <rPh sb="0" eb="2">
      <t>ヨウセキ</t>
    </rPh>
    <phoneticPr fontId="1"/>
  </si>
  <si>
    <t>換気量</t>
    <rPh sb="0" eb="2">
      <t>カンキ</t>
    </rPh>
    <rPh sb="2" eb="3">
      <t>リョウ</t>
    </rPh>
    <phoneticPr fontId="1"/>
  </si>
  <si>
    <t>容積と換気量</t>
    <rPh sb="0" eb="2">
      <t>ヨウセキ</t>
    </rPh>
    <rPh sb="3" eb="5">
      <t>カンキ</t>
    </rPh>
    <rPh sb="5" eb="6">
      <t>リョウ</t>
    </rPh>
    <phoneticPr fontId="1"/>
  </si>
  <si>
    <t>㎥</t>
    <phoneticPr fontId="1"/>
  </si>
  <si>
    <t>㎥/h</t>
    <phoneticPr fontId="1"/>
  </si>
  <si>
    <t>日射熱取得量</t>
    <rPh sb="0" eb="6">
      <t>ニッシャネツシュトクリョウ</t>
    </rPh>
    <phoneticPr fontId="1"/>
  </si>
  <si>
    <t>日/年</t>
    <rPh sb="0" eb="1">
      <t>ニチ</t>
    </rPh>
    <rPh sb="2" eb="3">
      <t>ネン</t>
    </rPh>
    <phoneticPr fontId="1"/>
  </si>
  <si>
    <t>⑤熱貫流率および断熱材厚みの推定</t>
    <rPh sb="1" eb="2">
      <t>ネツ</t>
    </rPh>
    <rPh sb="2" eb="4">
      <t>カンリュウ</t>
    </rPh>
    <rPh sb="4" eb="5">
      <t>リツ</t>
    </rPh>
    <rPh sb="8" eb="11">
      <t>ダンネツザイ</t>
    </rPh>
    <rPh sb="11" eb="12">
      <t>アツ</t>
    </rPh>
    <rPh sb="14" eb="16">
      <t>スイテイ</t>
    </rPh>
    <phoneticPr fontId="1"/>
  </si>
  <si>
    <t>基本面積</t>
    <rPh sb="0" eb="2">
      <t>キホン</t>
    </rPh>
    <rPh sb="2" eb="4">
      <t>メンセキ</t>
    </rPh>
    <phoneticPr fontId="1"/>
  </si>
  <si>
    <t>④面積推定</t>
    <rPh sb="1" eb="3">
      <t>メンセキ</t>
    </rPh>
    <rPh sb="3" eb="5">
      <t>スイテイ</t>
    </rPh>
    <phoneticPr fontId="1"/>
  </si>
  <si>
    <t>⑥窓の日射熱取得率の推定</t>
    <rPh sb="1" eb="2">
      <t>マド</t>
    </rPh>
    <rPh sb="3" eb="9">
      <t>ニッシャネツシュトクリツ</t>
    </rPh>
    <rPh sb="10" eb="12">
      <t>スイテイ</t>
    </rPh>
    <phoneticPr fontId="1"/>
  </si>
  <si>
    <t>D. 計算結果</t>
    <rPh sb="3" eb="5">
      <t>ケイサン</t>
    </rPh>
    <rPh sb="5" eb="7">
      <t>ケッカ</t>
    </rPh>
    <phoneticPr fontId="1"/>
  </si>
  <si>
    <t>B. 基準より悪化する場合</t>
    <rPh sb="3" eb="5">
      <t>キジュン</t>
    </rPh>
    <rPh sb="7" eb="9">
      <t>アッカ</t>
    </rPh>
    <rPh sb="11" eb="13">
      <t>バアイ</t>
    </rPh>
    <phoneticPr fontId="1"/>
  </si>
  <si>
    <t>C. 基準より改善する場合</t>
    <rPh sb="3" eb="5">
      <t>キジュン</t>
    </rPh>
    <rPh sb="7" eb="9">
      <t>カイゼン</t>
    </rPh>
    <rPh sb="11" eb="13">
      <t>バアイ</t>
    </rPh>
    <phoneticPr fontId="1"/>
  </si>
  <si>
    <t>和室</t>
  </si>
  <si>
    <t>和室</t>
    <rPh sb="0" eb="2">
      <t>ワシツ</t>
    </rPh>
    <phoneticPr fontId="1"/>
  </si>
  <si>
    <t>LD</t>
  </si>
  <si>
    <t>台所</t>
  </si>
  <si>
    <t>浴室</t>
  </si>
  <si>
    <t>1F便所</t>
  </si>
  <si>
    <t>洗面所</t>
  </si>
  <si>
    <t>ホール</t>
  </si>
  <si>
    <t>クローゼット</t>
  </si>
  <si>
    <t>主寝室</t>
  </si>
  <si>
    <t>子供室1</t>
  </si>
  <si>
    <t>子供室2</t>
  </si>
  <si>
    <t>2Fホール</t>
  </si>
  <si>
    <t>2F便所</t>
  </si>
  <si>
    <t>LD</t>
    <phoneticPr fontId="1"/>
  </si>
  <si>
    <t>K</t>
    <phoneticPr fontId="1"/>
  </si>
  <si>
    <t>主</t>
    <rPh sb="0" eb="1">
      <t>シュ</t>
    </rPh>
    <phoneticPr fontId="1"/>
  </si>
  <si>
    <t>他</t>
    <rPh sb="0" eb="1">
      <t>ホカ</t>
    </rPh>
    <phoneticPr fontId="1"/>
  </si>
  <si>
    <t>非</t>
    <rPh sb="0" eb="1">
      <t>ヒ</t>
    </rPh>
    <phoneticPr fontId="1"/>
  </si>
  <si>
    <t>1F便所</t>
    <rPh sb="2" eb="4">
      <t>ベンジョ</t>
    </rPh>
    <phoneticPr fontId="1"/>
  </si>
  <si>
    <t>2F便所</t>
    <rPh sb="2" eb="4">
      <t>ベンジョ</t>
    </rPh>
    <phoneticPr fontId="1"/>
  </si>
  <si>
    <t>1Fホール</t>
    <phoneticPr fontId="1"/>
  </si>
  <si>
    <t>2Fホール</t>
    <phoneticPr fontId="1"/>
  </si>
  <si>
    <t>クローゼット</t>
    <phoneticPr fontId="1"/>
  </si>
  <si>
    <t>※追加</t>
    <rPh sb="1" eb="3">
      <t>ツイカ</t>
    </rPh>
    <phoneticPr fontId="1"/>
  </si>
  <si>
    <t>床下の断熱(戸建てのみ)</t>
    <rPh sb="0" eb="1">
      <t>ユカ</t>
    </rPh>
    <rPh sb="1" eb="2">
      <t>シタ</t>
    </rPh>
    <rPh sb="3" eb="5">
      <t>ダンネツ</t>
    </rPh>
    <rPh sb="6" eb="8">
      <t>コダ</t>
    </rPh>
    <phoneticPr fontId="1"/>
  </si>
  <si>
    <t>中空層</t>
    <rPh sb="0" eb="2">
      <t>チュウクウ</t>
    </rPh>
    <rPh sb="2" eb="3">
      <t>ソウ</t>
    </rPh>
    <phoneticPr fontId="1"/>
  </si>
  <si>
    <t>合板</t>
    <rPh sb="0" eb="2">
      <t>ゴウバン</t>
    </rPh>
    <phoneticPr fontId="1"/>
  </si>
  <si>
    <t>木片セメント板</t>
    <rPh sb="0" eb="2">
      <t>モクヘン</t>
    </rPh>
    <rPh sb="6" eb="7">
      <t>イタ</t>
    </rPh>
    <phoneticPr fontId="1"/>
  </si>
  <si>
    <t>戸建て面積</t>
    <rPh sb="0" eb="2">
      <t>コダ</t>
    </rPh>
    <rPh sb="3" eb="5">
      <t>メンセキ</t>
    </rPh>
    <phoneticPr fontId="1"/>
  </si>
  <si>
    <t>①LDK</t>
    <phoneticPr fontId="1"/>
  </si>
  <si>
    <t>④主寝室</t>
    <rPh sb="1" eb="4">
      <t>シュシンシツ</t>
    </rPh>
    <phoneticPr fontId="1"/>
  </si>
  <si>
    <t>②子供室1</t>
    <rPh sb="1" eb="4">
      <t>コドモシツ</t>
    </rPh>
    <phoneticPr fontId="1"/>
  </si>
  <si>
    <t>③子供室2</t>
    <rPh sb="1" eb="3">
      <t>コドモ</t>
    </rPh>
    <rPh sb="3" eb="4">
      <t>シツ</t>
    </rPh>
    <phoneticPr fontId="1"/>
  </si>
  <si>
    <t>⑤便所</t>
    <rPh sb="1" eb="3">
      <t>ベンジョ</t>
    </rPh>
    <phoneticPr fontId="1"/>
  </si>
  <si>
    <t>⑥洗面所</t>
    <rPh sb="1" eb="4">
      <t>センメンジョ</t>
    </rPh>
    <phoneticPr fontId="1"/>
  </si>
  <si>
    <t>⑦浴室</t>
    <rPh sb="1" eb="3">
      <t>ヨクシツ</t>
    </rPh>
    <phoneticPr fontId="1"/>
  </si>
  <si>
    <t>⑧玄関ホール</t>
    <rPh sb="1" eb="3">
      <t>ゲンカン</t>
    </rPh>
    <phoneticPr fontId="1"/>
  </si>
  <si>
    <t>LDK</t>
    <phoneticPr fontId="1"/>
  </si>
  <si>
    <t>便所</t>
    <rPh sb="0" eb="2">
      <t>ベンジョ</t>
    </rPh>
    <phoneticPr fontId="1"/>
  </si>
  <si>
    <t>玄関ホール</t>
    <rPh sb="0" eb="2">
      <t>ゲンカン</t>
    </rPh>
    <phoneticPr fontId="1"/>
  </si>
  <si>
    <t>集合住宅面積</t>
    <rPh sb="0" eb="4">
      <t>シュウゴウジュウタク</t>
    </rPh>
    <rPh sb="4" eb="6">
      <t>メンセキ</t>
    </rPh>
    <phoneticPr fontId="1"/>
  </si>
  <si>
    <t>戸建て面積（集約）</t>
    <rPh sb="0" eb="2">
      <t>コダ</t>
    </rPh>
    <rPh sb="3" eb="5">
      <t>メンセキ</t>
    </rPh>
    <rPh sb="6" eb="8">
      <t>シュウヤク</t>
    </rPh>
    <phoneticPr fontId="1"/>
  </si>
  <si>
    <t>集合面積（集約）</t>
    <rPh sb="0" eb="2">
      <t>シュウゴウ</t>
    </rPh>
    <rPh sb="2" eb="4">
      <t>メンセキ</t>
    </rPh>
    <rPh sb="5" eb="7">
      <t>シュウヤク</t>
    </rPh>
    <phoneticPr fontId="1"/>
  </si>
  <si>
    <t>住宅の建て方</t>
    <rPh sb="0" eb="2">
      <t>ジュウタク</t>
    </rPh>
    <rPh sb="3" eb="4">
      <t>タ</t>
    </rPh>
    <rPh sb="5" eb="6">
      <t>カタ</t>
    </rPh>
    <phoneticPr fontId="1"/>
  </si>
  <si>
    <t>面積（集約）</t>
    <rPh sb="0" eb="2">
      <t>メンセキ</t>
    </rPh>
    <rPh sb="3" eb="5">
      <t>シュウヤク</t>
    </rPh>
    <phoneticPr fontId="1"/>
  </si>
  <si>
    <t>住宅の建て方に応じて選ばれた集約済みの面積</t>
    <rPh sb="0" eb="2">
      <t>ジュウタク</t>
    </rPh>
    <rPh sb="3" eb="4">
      <t>タ</t>
    </rPh>
    <rPh sb="5" eb="6">
      <t>カタ</t>
    </rPh>
    <rPh sb="7" eb="8">
      <t>オウ</t>
    </rPh>
    <rPh sb="10" eb="11">
      <t>エラ</t>
    </rPh>
    <rPh sb="14" eb="16">
      <t>シュウヤク</t>
    </rPh>
    <rPh sb="16" eb="17">
      <t>ズ</t>
    </rPh>
    <rPh sb="19" eb="21">
      <t>メンセキ</t>
    </rPh>
    <phoneticPr fontId="1"/>
  </si>
  <si>
    <t>室用途ごとに集約した戸建て住戸の面積</t>
    <rPh sb="0" eb="1">
      <t>シツ</t>
    </rPh>
    <rPh sb="1" eb="3">
      <t>ヨウト</t>
    </rPh>
    <rPh sb="6" eb="8">
      <t>シュウヤク</t>
    </rPh>
    <rPh sb="10" eb="12">
      <t>コダ</t>
    </rPh>
    <rPh sb="13" eb="15">
      <t>ジュウコ</t>
    </rPh>
    <rPh sb="16" eb="18">
      <t>メンセキ</t>
    </rPh>
    <phoneticPr fontId="1"/>
  </si>
  <si>
    <t>室用途ごとに集約した集合住宅の面積</t>
    <rPh sb="0" eb="1">
      <t>シツ</t>
    </rPh>
    <rPh sb="1" eb="3">
      <t>ヨウト</t>
    </rPh>
    <rPh sb="6" eb="8">
      <t>シュウヤク</t>
    </rPh>
    <rPh sb="10" eb="12">
      <t>シュウゴウ</t>
    </rPh>
    <rPh sb="12" eb="14">
      <t>ジュウタク</t>
    </rPh>
    <rPh sb="15" eb="17">
      <t>メンセキ</t>
    </rPh>
    <phoneticPr fontId="1"/>
  </si>
  <si>
    <t>東の窓は戸建てのみ</t>
    <rPh sb="0" eb="1">
      <t>ヒガシ</t>
    </rPh>
    <rPh sb="2" eb="3">
      <t>マド</t>
    </rPh>
    <rPh sb="4" eb="6">
      <t>コダ</t>
    </rPh>
    <phoneticPr fontId="1"/>
  </si>
  <si>
    <t>西の窓は戸建てのみ</t>
    <rPh sb="0" eb="1">
      <t>ニシ</t>
    </rPh>
    <rPh sb="2" eb="3">
      <t>マド</t>
    </rPh>
    <rPh sb="4" eb="6">
      <t>コダ</t>
    </rPh>
    <phoneticPr fontId="1"/>
  </si>
  <si>
    <t>西のドア（勝手口）は戸建てのみ</t>
    <rPh sb="0" eb="1">
      <t>ニシ</t>
    </rPh>
    <rPh sb="5" eb="8">
      <t>カッテグチ</t>
    </rPh>
    <rPh sb="10" eb="12">
      <t>コダ</t>
    </rPh>
    <phoneticPr fontId="1"/>
  </si>
  <si>
    <t>戸建ての面積は自立循環モデル</t>
    <rPh sb="0" eb="2">
      <t>コダ</t>
    </rPh>
    <rPh sb="4" eb="6">
      <t>メンセキ</t>
    </rPh>
    <rPh sb="7" eb="11">
      <t>ジリツジュンカン</t>
    </rPh>
    <phoneticPr fontId="1"/>
  </si>
  <si>
    <t>建築研究資料 No.155 集合住宅の住まい方・設備保有状況に関する基礎調査 より 3LDK一般モデルを採用</t>
    <rPh sb="46" eb="48">
      <t>イッパン</t>
    </rPh>
    <rPh sb="52" eb="54">
      <t>サイヨウ</t>
    </rPh>
    <phoneticPr fontId="1"/>
  </si>
  <si>
    <t>※3LDK一般の中間階中住戸から面積を拾った</t>
    <rPh sb="5" eb="7">
      <t>イッパン</t>
    </rPh>
    <rPh sb="8" eb="10">
      <t>チュウカン</t>
    </rPh>
    <rPh sb="10" eb="11">
      <t>カイ</t>
    </rPh>
    <rPh sb="11" eb="12">
      <t>ナカ</t>
    </rPh>
    <rPh sb="12" eb="14">
      <t>ジュウコ</t>
    </rPh>
    <rPh sb="16" eb="18">
      <t>メンセキ</t>
    </rPh>
    <rPh sb="19" eb="20">
      <t>ヒロ</t>
    </rPh>
    <phoneticPr fontId="1"/>
  </si>
  <si>
    <t>※建研研究資料 No.155 → https://www.kenken.go.jp/japanese/contents/publications/data/155/index.html</t>
    <rPh sb="1" eb="3">
      <t>ケンケン</t>
    </rPh>
    <rPh sb="3" eb="5">
      <t>ケンキュウ</t>
    </rPh>
    <rPh sb="5" eb="7">
      <t>シリョウ</t>
    </rPh>
    <phoneticPr fontId="1"/>
  </si>
  <si>
    <t>※1-2階の間仕切りを無視</t>
    <rPh sb="4" eb="5">
      <t>カイ</t>
    </rPh>
    <rPh sb="6" eb="9">
      <t>マジキ</t>
    </rPh>
    <rPh sb="11" eb="13">
      <t>ムシ</t>
    </rPh>
    <phoneticPr fontId="1"/>
  </si>
  <si>
    <t>仮の総外皮に占める外気に接する外皮面積の比率</t>
    <rPh sb="0" eb="1">
      <t>カリ</t>
    </rPh>
    <rPh sb="2" eb="5">
      <t>ソウガイヒ</t>
    </rPh>
    <rPh sb="6" eb="7">
      <t>シ</t>
    </rPh>
    <rPh sb="9" eb="11">
      <t>ガイキ</t>
    </rPh>
    <rPh sb="12" eb="13">
      <t>セッ</t>
    </rPh>
    <rPh sb="15" eb="19">
      <t>ガイヒメンセキ</t>
    </rPh>
    <rPh sb="20" eb="22">
      <t>ヒリツ</t>
    </rPh>
    <phoneticPr fontId="1"/>
  </si>
  <si>
    <t>○床の外気に接する面積の比率</t>
    <rPh sb="1" eb="2">
      <t>ユカ</t>
    </rPh>
    <rPh sb="3" eb="5">
      <t>ガイキ</t>
    </rPh>
    <rPh sb="6" eb="7">
      <t>セッ</t>
    </rPh>
    <rPh sb="9" eb="11">
      <t>メンセキ</t>
    </rPh>
    <rPh sb="12" eb="14">
      <t>ヒリツ</t>
    </rPh>
    <phoneticPr fontId="1"/>
  </si>
  <si>
    <t>床の外気に接する面積の比率</t>
    <rPh sb="0" eb="1">
      <t>ユカ</t>
    </rPh>
    <rPh sb="2" eb="4">
      <t>ガイキ</t>
    </rPh>
    <rPh sb="5" eb="6">
      <t>セッ</t>
    </rPh>
    <rPh sb="8" eb="10">
      <t>メンセキ</t>
    </rPh>
    <rPh sb="11" eb="13">
      <t>ヒリツ</t>
    </rPh>
    <phoneticPr fontId="1"/>
  </si>
  <si>
    <t>断熱材のλ値</t>
    <rPh sb="0" eb="3">
      <t>ダンネツザイ</t>
    </rPh>
    <rPh sb="5" eb="6">
      <t>アタイ</t>
    </rPh>
    <phoneticPr fontId="1"/>
  </si>
  <si>
    <t>断熱材を除く熱抵抗</t>
    <rPh sb="0" eb="3">
      <t>ダンネツザイ</t>
    </rPh>
    <rPh sb="4" eb="5">
      <t>ノゾ</t>
    </rPh>
    <rPh sb="6" eb="7">
      <t>ネツ</t>
    </rPh>
    <rPh sb="7" eb="9">
      <t>テイコウ</t>
    </rPh>
    <phoneticPr fontId="1"/>
  </si>
  <si>
    <t>←戸建てかつ床下断熱の場合のみ計算される</t>
    <rPh sb="1" eb="3">
      <t>コダ</t>
    </rPh>
    <rPh sb="6" eb="8">
      <t>ユカシタ</t>
    </rPh>
    <rPh sb="8" eb="10">
      <t>ダンネツ</t>
    </rPh>
    <rPh sb="11" eb="13">
      <t>バアイ</t>
    </rPh>
    <rPh sb="15" eb="17">
      <t>ケイサン</t>
    </rPh>
    <phoneticPr fontId="1"/>
  </si>
  <si>
    <t>MR</t>
    <phoneticPr fontId="1"/>
  </si>
  <si>
    <t>OR</t>
    <phoneticPr fontId="1"/>
  </si>
  <si>
    <t>NO</t>
    <phoneticPr fontId="1"/>
  </si>
  <si>
    <t>床下空間</t>
    <rPh sb="0" eb="2">
      <t>ユカシタ</t>
    </rPh>
    <rPh sb="2" eb="4">
      <t>クウカン</t>
    </rPh>
    <phoneticPr fontId="1"/>
  </si>
  <si>
    <t>床下空間</t>
    <rPh sb="0" eb="4">
      <t>ユカシタクウカン</t>
    </rPh>
    <phoneticPr fontId="1"/>
  </si>
  <si>
    <t>UF</t>
    <phoneticPr fontId="1"/>
  </si>
  <si>
    <t>A_env_horz_MR_ref</t>
    <phoneticPr fontId="1"/>
  </si>
  <si>
    <t>A_env_horz_OR_ref</t>
    <phoneticPr fontId="1"/>
  </si>
  <si>
    <t>A_env_horz_NO_ref</t>
    <phoneticPr fontId="1"/>
  </si>
  <si>
    <t>A_env_south_MR_ref</t>
    <phoneticPr fontId="1"/>
  </si>
  <si>
    <t>A_env_east_MR_ref</t>
    <phoneticPr fontId="1"/>
  </si>
  <si>
    <t>A_env_north_MR_ref</t>
    <phoneticPr fontId="1"/>
  </si>
  <si>
    <t>A_env_west_MR_ref</t>
    <phoneticPr fontId="1"/>
  </si>
  <si>
    <t>A_env_south_OR_ref</t>
    <phoneticPr fontId="1"/>
  </si>
  <si>
    <t>A_env_east_OR_ref</t>
    <phoneticPr fontId="1"/>
  </si>
  <si>
    <t>A_env_north_OR_ref</t>
    <phoneticPr fontId="1"/>
  </si>
  <si>
    <t>A_env_west_OR_ref</t>
    <phoneticPr fontId="1"/>
  </si>
  <si>
    <t>A_env_south_NO_ref</t>
    <phoneticPr fontId="1"/>
  </si>
  <si>
    <t>A_env_east_NO_ref</t>
    <phoneticPr fontId="1"/>
  </si>
  <si>
    <t>A_env_north_NO_ref</t>
    <phoneticPr fontId="1"/>
  </si>
  <si>
    <t>A_env_west_NO_ref</t>
    <phoneticPr fontId="1"/>
  </si>
  <si>
    <t>A_env_win_south_MR_ref</t>
    <phoneticPr fontId="1"/>
  </si>
  <si>
    <t>A_env_win_east_MR_ref</t>
    <phoneticPr fontId="1"/>
  </si>
  <si>
    <t>A_env_win_north_MR_ref</t>
    <phoneticPr fontId="1"/>
  </si>
  <si>
    <t>A_env_win_west_MR_ref</t>
    <phoneticPr fontId="1"/>
  </si>
  <si>
    <t>A_env_door_north_MR_ref</t>
    <phoneticPr fontId="1"/>
  </si>
  <si>
    <t>A_env_door_west_MR_ref</t>
    <phoneticPr fontId="1"/>
  </si>
  <si>
    <t>A_env_win</t>
    <phoneticPr fontId="1"/>
  </si>
  <si>
    <t>A_env_win_south_OR_ref</t>
    <phoneticPr fontId="1"/>
  </si>
  <si>
    <t>A_env_win_east_OR_ref</t>
    <phoneticPr fontId="1"/>
  </si>
  <si>
    <t>A_env_win_north_OR_ref</t>
    <phoneticPr fontId="1"/>
  </si>
  <si>
    <t>A_env_win_west_OR_ref</t>
    <phoneticPr fontId="1"/>
  </si>
  <si>
    <t>A_env_door_north_OR_ref</t>
    <phoneticPr fontId="1"/>
  </si>
  <si>
    <t>A_env_door_west_OR_ref</t>
    <phoneticPr fontId="1"/>
  </si>
  <si>
    <t>A_env_win_south_NO_ref</t>
    <phoneticPr fontId="1"/>
  </si>
  <si>
    <t>A_env_win_east_NO_ref</t>
    <phoneticPr fontId="1"/>
  </si>
  <si>
    <t>A_env_win_north_NO_ref</t>
    <phoneticPr fontId="1"/>
  </si>
  <si>
    <t>A_env_win_west_NO_ref</t>
    <phoneticPr fontId="1"/>
  </si>
  <si>
    <t>A_env_door_north_NO_ref</t>
    <phoneticPr fontId="1"/>
  </si>
  <si>
    <t>A_env_door_west_NO_ref</t>
    <phoneticPr fontId="1"/>
  </si>
  <si>
    <t>A_part_MR→OR</t>
    <phoneticPr fontId="1"/>
  </si>
  <si>
    <t>A_part_MR→NO</t>
    <phoneticPr fontId="1"/>
  </si>
  <si>
    <t>A_part_OR→NO</t>
    <phoneticPr fontId="1"/>
  </si>
  <si>
    <t>A_part_MR→UF</t>
    <phoneticPr fontId="1"/>
  </si>
  <si>
    <t>A_part_OR→UF</t>
    <phoneticPr fontId="1"/>
  </si>
  <si>
    <t>A_part_NO→UF</t>
    <phoneticPr fontId="1"/>
  </si>
  <si>
    <t>A_env_horz_UF_ref</t>
    <phoneticPr fontId="1"/>
  </si>
  <si>
    <t>A_env_south_UF_ref</t>
    <phoneticPr fontId="1"/>
  </si>
  <si>
    <t>A_env_east_UF_ref</t>
    <phoneticPr fontId="1"/>
  </si>
  <si>
    <t>A_env_north_UF_ref</t>
  </si>
  <si>
    <t>A_env_north_UF_ref</t>
    <phoneticPr fontId="1"/>
  </si>
  <si>
    <t>A_env_west_UF_ref</t>
  </si>
  <si>
    <t>A_env_west_UF_ref</t>
    <phoneticPr fontId="1"/>
  </si>
  <si>
    <t>参照住戸の面積</t>
    <rPh sb="0" eb="2">
      <t>サンショウ</t>
    </rPh>
    <rPh sb="2" eb="4">
      <t>ジュウコ</t>
    </rPh>
    <rPh sb="5" eb="7">
      <t>メンセキ</t>
    </rPh>
    <phoneticPr fontId="1"/>
  </si>
  <si>
    <t>A_env_MR_ref</t>
    <phoneticPr fontId="1"/>
  </si>
  <si>
    <t>A_env_vert_MR</t>
    <phoneticPr fontId="1"/>
  </si>
  <si>
    <t>A_env_OR_ref</t>
    <phoneticPr fontId="1"/>
  </si>
  <si>
    <t>A_env_NO_ref</t>
    <phoneticPr fontId="1"/>
  </si>
  <si>
    <t>A_env</t>
    <phoneticPr fontId="1"/>
  </si>
  <si>
    <t>A_env_vert_OR</t>
    <phoneticPr fontId="1"/>
  </si>
  <si>
    <t>A_env_vert_NO</t>
    <phoneticPr fontId="1"/>
  </si>
  <si>
    <t>A_env_south_MR</t>
    <phoneticPr fontId="1"/>
  </si>
  <si>
    <t>A_env_east_MR</t>
    <phoneticPr fontId="1"/>
  </si>
  <si>
    <t>A_env_north_MR</t>
    <phoneticPr fontId="1"/>
  </si>
  <si>
    <t>A_env_west_MR</t>
    <phoneticPr fontId="1"/>
  </si>
  <si>
    <t>A_env_south_OR</t>
    <phoneticPr fontId="1"/>
  </si>
  <si>
    <t>A_env_east_OR</t>
    <phoneticPr fontId="1"/>
  </si>
  <si>
    <t>A_env_north_OR</t>
    <phoneticPr fontId="1"/>
  </si>
  <si>
    <t>A_env_west_OR</t>
    <phoneticPr fontId="1"/>
  </si>
  <si>
    <t>A_env_south_NO</t>
    <phoneticPr fontId="1"/>
  </si>
  <si>
    <t>A_env_east_NO</t>
    <phoneticPr fontId="1"/>
  </si>
  <si>
    <t>A_env_north_NO</t>
    <phoneticPr fontId="1"/>
  </si>
  <si>
    <t>A_env_west_NO</t>
    <phoneticPr fontId="1"/>
  </si>
  <si>
    <t>A_env_vert_MR_ref</t>
    <phoneticPr fontId="1"/>
  </si>
  <si>
    <t>A_env_vert_OR_ref</t>
    <phoneticPr fontId="1"/>
  </si>
  <si>
    <t>A_env_vert_NO_ref</t>
    <phoneticPr fontId="1"/>
  </si>
  <si>
    <t>　南</t>
    <rPh sb="1" eb="2">
      <t>ミナミ</t>
    </rPh>
    <phoneticPr fontId="1"/>
  </si>
  <si>
    <t>　東</t>
    <rPh sb="1" eb="2">
      <t>ヒガシ</t>
    </rPh>
    <phoneticPr fontId="1"/>
  </si>
  <si>
    <t>　北</t>
    <rPh sb="1" eb="2">
      <t>キタ</t>
    </rPh>
    <phoneticPr fontId="1"/>
  </si>
  <si>
    <t>　西</t>
    <rPh sb="1" eb="2">
      <t>ニシ</t>
    </rPh>
    <phoneticPr fontId="1"/>
  </si>
  <si>
    <t>垂直小計</t>
    <rPh sb="0" eb="2">
      <t>スイチョク</t>
    </rPh>
    <rPh sb="2" eb="4">
      <t>ショウケイ</t>
    </rPh>
    <phoneticPr fontId="1"/>
  </si>
  <si>
    <t>推定住戸の非居室の外皮面積の全体に占める割合</t>
    <rPh sb="0" eb="2">
      <t>スイテイ</t>
    </rPh>
    <rPh sb="2" eb="4">
      <t>ジュウコ</t>
    </rPh>
    <rPh sb="5" eb="8">
      <t>ヒキョシツ</t>
    </rPh>
    <rPh sb="9" eb="11">
      <t>ガイヒ</t>
    </rPh>
    <rPh sb="11" eb="13">
      <t>メンセキ</t>
    </rPh>
    <rPh sb="14" eb="16">
      <t>ゼンタイ</t>
    </rPh>
    <rPh sb="17" eb="18">
      <t>シ</t>
    </rPh>
    <rPh sb="20" eb="22">
      <t>ワリアイ</t>
    </rPh>
    <phoneticPr fontId="1"/>
  </si>
  <si>
    <t>推定住戸の主たる居室の垂直外皮の面積</t>
    <rPh sb="5" eb="6">
      <t>シュ</t>
    </rPh>
    <rPh sb="8" eb="10">
      <t>キョシツ</t>
    </rPh>
    <rPh sb="11" eb="13">
      <t>スイチョク</t>
    </rPh>
    <rPh sb="13" eb="15">
      <t>ガイヒ</t>
    </rPh>
    <rPh sb="16" eb="18">
      <t>メンセキ</t>
    </rPh>
    <phoneticPr fontId="1"/>
  </si>
  <si>
    <t>推定住戸のその他の居室の垂直外皮の面積</t>
    <rPh sb="7" eb="8">
      <t>ホカ</t>
    </rPh>
    <rPh sb="9" eb="11">
      <t>キョシツ</t>
    </rPh>
    <phoneticPr fontId="1"/>
  </si>
  <si>
    <t>推定住戸のその他の居室の外皮面積の全体に占める割合</t>
    <rPh sb="7" eb="8">
      <t>ホカ</t>
    </rPh>
    <rPh sb="9" eb="11">
      <t>キョシツ</t>
    </rPh>
    <rPh sb="12" eb="14">
      <t>ガイヒ</t>
    </rPh>
    <rPh sb="14" eb="16">
      <t>メンセキ</t>
    </rPh>
    <rPh sb="17" eb="19">
      <t>ゼンタイ</t>
    </rPh>
    <rPh sb="20" eb="21">
      <t>シ</t>
    </rPh>
    <rPh sb="23" eb="25">
      <t>ワリアイ</t>
    </rPh>
    <phoneticPr fontId="1"/>
  </si>
  <si>
    <t>推定住戸の主たる居室の外皮面積の全体に占める割合</t>
    <rPh sb="5" eb="6">
      <t>シュ</t>
    </rPh>
    <rPh sb="8" eb="10">
      <t>キョシツ</t>
    </rPh>
    <rPh sb="11" eb="13">
      <t>ガイヒ</t>
    </rPh>
    <rPh sb="13" eb="15">
      <t>メンセキ</t>
    </rPh>
    <rPh sb="16" eb="18">
      <t>ゼンタイ</t>
    </rPh>
    <rPh sb="19" eb="20">
      <t>シ</t>
    </rPh>
    <rPh sb="22" eb="24">
      <t>ワリアイ</t>
    </rPh>
    <phoneticPr fontId="1"/>
  </si>
  <si>
    <t>推定住戸の非居室の垂直外皮の面積</t>
    <rPh sb="5" eb="6">
      <t>ヒ</t>
    </rPh>
    <rPh sb="6" eb="8">
      <t>キョシツ</t>
    </rPh>
    <phoneticPr fontId="1"/>
  </si>
  <si>
    <t>推定住戸の外皮面積</t>
    <rPh sb="0" eb="2">
      <t>スイテイ</t>
    </rPh>
    <rPh sb="2" eb="4">
      <t>ジュウコ</t>
    </rPh>
    <rPh sb="5" eb="7">
      <t>ガイヒ</t>
    </rPh>
    <rPh sb="7" eb="9">
      <t>メンセキ</t>
    </rPh>
    <phoneticPr fontId="1"/>
  </si>
  <si>
    <t>r_env_ex_min</t>
    <phoneticPr fontId="1"/>
  </si>
  <si>
    <t>r_env_ex_max</t>
    <phoneticPr fontId="1"/>
  </si>
  <si>
    <t>r_dash_env_ex</t>
    <phoneticPr fontId="1"/>
  </si>
  <si>
    <t>r_env_ex</t>
    <phoneticPr fontId="1"/>
  </si>
  <si>
    <t>A_env_ex</t>
    <phoneticPr fontId="1"/>
  </si>
  <si>
    <t>DD_H</t>
    <phoneticPr fontId="1"/>
  </si>
  <si>
    <t>DD_C</t>
    <phoneticPr fontId="1"/>
  </si>
  <si>
    <t>A_env_op</t>
    <phoneticPr fontId="1"/>
  </si>
  <si>
    <t>r_env_op</t>
    <phoneticPr fontId="1"/>
  </si>
  <si>
    <t>η_avg</t>
    <phoneticPr fontId="1"/>
  </si>
  <si>
    <t>m</t>
    <phoneticPr fontId="1"/>
  </si>
  <si>
    <t>A_env_ex_min</t>
    <phoneticPr fontId="1"/>
  </si>
  <si>
    <t>A_env_ex_max</t>
    <phoneticPr fontId="1"/>
  </si>
  <si>
    <t>総外皮に占める外気に接する外皮面積の最大値</t>
    <rPh sb="0" eb="1">
      <t>ソウ</t>
    </rPh>
    <rPh sb="1" eb="3">
      <t>ガイヒ</t>
    </rPh>
    <rPh sb="4" eb="5">
      <t>シ</t>
    </rPh>
    <rPh sb="7" eb="9">
      <t>ガイキ</t>
    </rPh>
    <rPh sb="10" eb="11">
      <t>セッ</t>
    </rPh>
    <rPh sb="13" eb="15">
      <t>ガイヒ</t>
    </rPh>
    <rPh sb="15" eb="17">
      <t>メンセキ</t>
    </rPh>
    <rPh sb="18" eb="21">
      <t>サイダイチ</t>
    </rPh>
    <phoneticPr fontId="1"/>
  </si>
  <si>
    <t>総外皮に占める外気に接する外皮面積の最小値</t>
    <rPh sb="0" eb="1">
      <t>ソウ</t>
    </rPh>
    <rPh sb="1" eb="3">
      <t>ガイヒ</t>
    </rPh>
    <rPh sb="4" eb="5">
      <t>シ</t>
    </rPh>
    <rPh sb="7" eb="9">
      <t>ガイキ</t>
    </rPh>
    <rPh sb="10" eb="11">
      <t>セッ</t>
    </rPh>
    <rPh sb="13" eb="15">
      <t>ガイヒ</t>
    </rPh>
    <rPh sb="15" eb="17">
      <t>メンセキ</t>
    </rPh>
    <rPh sb="18" eb="21">
      <t>サイショウチ</t>
    </rPh>
    <phoneticPr fontId="1"/>
  </si>
  <si>
    <t>総外皮に占める外気に接する外皮面積の比率の最小値</t>
    <rPh sb="0" eb="3">
      <t>ソウガイヒ</t>
    </rPh>
    <rPh sb="4" eb="5">
      <t>シ</t>
    </rPh>
    <rPh sb="7" eb="9">
      <t>ガイキ</t>
    </rPh>
    <rPh sb="10" eb="11">
      <t>セッ</t>
    </rPh>
    <rPh sb="13" eb="17">
      <t>ガイヒメンセキ</t>
    </rPh>
    <rPh sb="18" eb="20">
      <t>ヒリツ</t>
    </rPh>
    <rPh sb="21" eb="23">
      <t>サイショウ</t>
    </rPh>
    <rPh sb="23" eb="24">
      <t>アタイ</t>
    </rPh>
    <phoneticPr fontId="1"/>
  </si>
  <si>
    <t>総外皮に占める外気に接する外皮面積の比率の最大値</t>
    <rPh sb="0" eb="3">
      <t>ソウガイヒ</t>
    </rPh>
    <rPh sb="4" eb="5">
      <t>シ</t>
    </rPh>
    <rPh sb="7" eb="9">
      <t>ガイキ</t>
    </rPh>
    <rPh sb="10" eb="11">
      <t>セッ</t>
    </rPh>
    <rPh sb="13" eb="17">
      <t>ガイヒメンセキ</t>
    </rPh>
    <rPh sb="18" eb="20">
      <t>ヒリツ</t>
    </rPh>
    <rPh sb="21" eb="23">
      <t>サイダイ</t>
    </rPh>
    <rPh sb="23" eb="24">
      <t>アタイ</t>
    </rPh>
    <phoneticPr fontId="1"/>
  </si>
  <si>
    <t>下</t>
    <rPh sb="0" eb="1">
      <t>シタ</t>
    </rPh>
    <phoneticPr fontId="1"/>
  </si>
  <si>
    <t>上</t>
    <rPh sb="0" eb="1">
      <t>ウエ</t>
    </rPh>
    <phoneticPr fontId="1"/>
  </si>
  <si>
    <t>A_env_bottom_MR_ref</t>
    <phoneticPr fontId="1"/>
  </si>
  <si>
    <t>A_env_top_MR_ref</t>
    <phoneticPr fontId="1"/>
  </si>
  <si>
    <t>A_env_top_OR_ref</t>
    <phoneticPr fontId="1"/>
  </si>
  <si>
    <t>A_env_top_NO_ref</t>
    <phoneticPr fontId="1"/>
  </si>
  <si>
    <t>A_env_bottom_OR_ref</t>
    <phoneticPr fontId="1"/>
  </si>
  <si>
    <t>A_env_bottom_NO_ref</t>
    <phoneticPr fontId="1"/>
  </si>
  <si>
    <t>床面積</t>
    <rPh sb="0" eb="3">
      <t>ユカメンセキ</t>
    </rPh>
    <phoneticPr fontId="1"/>
  </si>
  <si>
    <t>A_MR / A_MR_ref</t>
    <phoneticPr fontId="1"/>
  </si>
  <si>
    <t>A_OR / A_OR_ref</t>
    <phoneticPr fontId="1"/>
  </si>
  <si>
    <t>A_NO / A_NO_ref</t>
    <phoneticPr fontId="1"/>
  </si>
  <si>
    <t>A_MR_ref</t>
  </si>
  <si>
    <t>A_OR_ref</t>
  </si>
  <si>
    <t>A_NO_ref</t>
  </si>
  <si>
    <t>A_env_top_MR</t>
    <phoneticPr fontId="1"/>
  </si>
  <si>
    <t>A_env_bottom_MR</t>
    <phoneticPr fontId="1"/>
  </si>
  <si>
    <t>A_env_top_OR</t>
    <phoneticPr fontId="1"/>
  </si>
  <si>
    <t>A_env_bottom_OR</t>
    <phoneticPr fontId="1"/>
  </si>
  <si>
    <t>A_env_top_NO</t>
    <phoneticPr fontId="1"/>
  </si>
  <si>
    <t>A_env_bottom_NO</t>
    <phoneticPr fontId="1"/>
  </si>
  <si>
    <t>水平小計</t>
    <rPh sb="0" eb="2">
      <t>スイヘイ</t>
    </rPh>
    <rPh sb="2" eb="4">
      <t>ショウケイ</t>
    </rPh>
    <phoneticPr fontId="1"/>
  </si>
  <si>
    <t>　上</t>
    <rPh sb="1" eb="2">
      <t>ウエ</t>
    </rPh>
    <phoneticPr fontId="1"/>
  </si>
  <si>
    <t>　下</t>
    <rPh sb="1" eb="2">
      <t>シタ</t>
    </rPh>
    <phoneticPr fontId="1"/>
  </si>
  <si>
    <t>A_env_MR</t>
    <phoneticPr fontId="1"/>
  </si>
  <si>
    <t>A_env_OR</t>
    <phoneticPr fontId="1"/>
  </si>
  <si>
    <t>A_env_NO</t>
    <phoneticPr fontId="1"/>
  </si>
  <si>
    <t>A_env_top</t>
    <phoneticPr fontId="1"/>
  </si>
  <si>
    <t>A_env_bottom</t>
    <phoneticPr fontId="1"/>
  </si>
  <si>
    <t>A_env_horz_NO</t>
    <phoneticPr fontId="1"/>
  </si>
  <si>
    <t>A_env_horz_OR</t>
    <phoneticPr fontId="1"/>
  </si>
  <si>
    <t>A_env_horz_MR</t>
    <phoneticPr fontId="1"/>
  </si>
  <si>
    <t>A_env_horz</t>
    <phoneticPr fontId="1"/>
  </si>
  <si>
    <t>A_env_south</t>
    <phoneticPr fontId="1"/>
  </si>
  <si>
    <t>A_env_east</t>
    <phoneticPr fontId="1"/>
  </si>
  <si>
    <t>A_env_north</t>
    <phoneticPr fontId="1"/>
  </si>
  <si>
    <t>A_env_west</t>
    <phoneticPr fontId="1"/>
  </si>
  <si>
    <t>A_env_vert</t>
    <phoneticPr fontId="1"/>
  </si>
  <si>
    <t>A_env_top_MR_ex</t>
    <phoneticPr fontId="1"/>
  </si>
  <si>
    <t>A_env_south_MR_ex</t>
    <phoneticPr fontId="1"/>
  </si>
  <si>
    <t>A_env_east_MR_ex</t>
    <phoneticPr fontId="1"/>
  </si>
  <si>
    <t>A_env_north_MR_ex</t>
    <phoneticPr fontId="1"/>
  </si>
  <si>
    <t>A_env_west_MR_ex</t>
    <phoneticPr fontId="1"/>
  </si>
  <si>
    <t>A_env_bottom_MR_ex</t>
    <phoneticPr fontId="1"/>
  </si>
  <si>
    <t>A_env_top_OR_ex</t>
    <phoneticPr fontId="1"/>
  </si>
  <si>
    <t>A_env_south_OR_ex</t>
    <phoneticPr fontId="1"/>
  </si>
  <si>
    <t>A_env_east_OR_ex</t>
    <phoneticPr fontId="1"/>
  </si>
  <si>
    <t>A_env_north_OR_ex</t>
    <phoneticPr fontId="1"/>
  </si>
  <si>
    <t>A_env_west_OR_ex</t>
    <phoneticPr fontId="1"/>
  </si>
  <si>
    <t>A_env_bottom_OR_ex</t>
    <phoneticPr fontId="1"/>
  </si>
  <si>
    <t>A_env_top_NO_ex</t>
    <phoneticPr fontId="1"/>
  </si>
  <si>
    <t>A_env_south_NO_ex</t>
    <phoneticPr fontId="1"/>
  </si>
  <si>
    <t>A_env_east_NO_ex</t>
    <phoneticPr fontId="1"/>
  </si>
  <si>
    <t>A_env_north_NO_ex</t>
    <phoneticPr fontId="1"/>
  </si>
  <si>
    <t>A_env_west_NO_ex</t>
    <phoneticPr fontId="1"/>
  </si>
  <si>
    <t>A_env_bottom_NO_ex</t>
    <phoneticPr fontId="1"/>
  </si>
  <si>
    <t>A_env_top_MR_in</t>
    <phoneticPr fontId="1"/>
  </si>
  <si>
    <t>A_env_south_MR_in</t>
    <phoneticPr fontId="1"/>
  </si>
  <si>
    <t>A_env_east_MR_in</t>
    <phoneticPr fontId="1"/>
  </si>
  <si>
    <t>A_env_north_MR_in</t>
    <phoneticPr fontId="1"/>
  </si>
  <si>
    <t>A_env_west_MR_in</t>
    <phoneticPr fontId="1"/>
  </si>
  <si>
    <t>A_env_top_OR_in</t>
    <phoneticPr fontId="1"/>
  </si>
  <si>
    <t>A_env_south_OR_in</t>
    <phoneticPr fontId="1"/>
  </si>
  <si>
    <t>A_env_east_OR_in</t>
    <phoneticPr fontId="1"/>
  </si>
  <si>
    <t>A_env_north_OR_in</t>
    <phoneticPr fontId="1"/>
  </si>
  <si>
    <t>A_env_west_OR_in</t>
    <phoneticPr fontId="1"/>
  </si>
  <si>
    <t>A_env_bottom_OR_in</t>
    <phoneticPr fontId="1"/>
  </si>
  <si>
    <t>A_env_top_NO_in</t>
    <phoneticPr fontId="1"/>
  </si>
  <si>
    <t>A_env_south_NO_in</t>
    <phoneticPr fontId="1"/>
  </si>
  <si>
    <t>A_env_east_NO_in</t>
    <phoneticPr fontId="1"/>
  </si>
  <si>
    <t>A_env_north_NO_in</t>
    <phoneticPr fontId="1"/>
  </si>
  <si>
    <t>A_env_west_NO_in</t>
    <phoneticPr fontId="1"/>
  </si>
  <si>
    <t>A_env_bottom_NO_in</t>
    <phoneticPr fontId="1"/>
  </si>
  <si>
    <t>A_env_top_ex</t>
    <phoneticPr fontId="1"/>
  </si>
  <si>
    <t>A_env_south_ex</t>
    <phoneticPr fontId="1"/>
  </si>
  <si>
    <t>A_env_east_ex</t>
    <phoneticPr fontId="1"/>
  </si>
  <si>
    <t>A_env_north_ex</t>
    <phoneticPr fontId="1"/>
  </si>
  <si>
    <t>A_env_west_ex</t>
    <phoneticPr fontId="1"/>
  </si>
  <si>
    <t>A_env_bottom_ex</t>
    <phoneticPr fontId="1"/>
  </si>
  <si>
    <t>A_env_top_in</t>
    <phoneticPr fontId="1"/>
  </si>
  <si>
    <t>A_env_south_in</t>
    <phoneticPr fontId="1"/>
  </si>
  <si>
    <t>A_env_east_in</t>
    <phoneticPr fontId="1"/>
  </si>
  <si>
    <t>A_env_north_in</t>
    <phoneticPr fontId="1"/>
  </si>
  <si>
    <t>A_env_west_in</t>
    <phoneticPr fontId="1"/>
  </si>
  <si>
    <t>A_env_bottom_in</t>
    <phoneticPr fontId="1"/>
  </si>
  <si>
    <t>A_env_horz_MR_ex</t>
    <phoneticPr fontId="1"/>
  </si>
  <si>
    <t>A_env_horz_OR_ez</t>
    <phoneticPr fontId="1"/>
  </si>
  <si>
    <t>A_env_horz_NO_ex</t>
    <phoneticPr fontId="1"/>
  </si>
  <si>
    <t>A_env_vert_MR_ex</t>
    <phoneticPr fontId="1"/>
  </si>
  <si>
    <t>A_env_vert_OR_ex</t>
    <phoneticPr fontId="1"/>
  </si>
  <si>
    <t>A_env_vert_NO_ex</t>
    <phoneticPr fontId="1"/>
  </si>
  <si>
    <t>A_env_MR_ex</t>
    <phoneticPr fontId="1"/>
  </si>
  <si>
    <t>A_env_OR_ex</t>
    <phoneticPr fontId="1"/>
  </si>
  <si>
    <t>A_env_NO_ex</t>
    <phoneticPr fontId="1"/>
  </si>
  <si>
    <t>A_env_horz_ex</t>
    <phoneticPr fontId="1"/>
  </si>
  <si>
    <t>A_env_vert_ex</t>
    <phoneticPr fontId="1"/>
  </si>
  <si>
    <t>A_env_horz_MR_in</t>
    <phoneticPr fontId="1"/>
  </si>
  <si>
    <t>A_env_bottom_MR_in</t>
    <phoneticPr fontId="1"/>
  </si>
  <si>
    <t>A_env_vert_MR_in</t>
    <phoneticPr fontId="1"/>
  </si>
  <si>
    <t>A_env_MR_in</t>
    <phoneticPr fontId="1"/>
  </si>
  <si>
    <t>A_env_OR_in</t>
    <phoneticPr fontId="1"/>
  </si>
  <si>
    <t>A_env_NO_in</t>
    <phoneticPr fontId="1"/>
  </si>
  <si>
    <t>A_env_in</t>
    <phoneticPr fontId="1"/>
  </si>
  <si>
    <t>A_env_vert_OR_in</t>
    <phoneticPr fontId="1"/>
  </si>
  <si>
    <t>A_env_vert_NO_in</t>
    <phoneticPr fontId="1"/>
  </si>
  <si>
    <t>A_env_horz_OR_in</t>
    <phoneticPr fontId="1"/>
  </si>
  <si>
    <t>A_env_horz_NO_in</t>
    <phoneticPr fontId="1"/>
  </si>
  <si>
    <t>A_env_vert_in</t>
    <phoneticPr fontId="1"/>
  </si>
  <si>
    <t>A_env_top_UF_ref</t>
    <phoneticPr fontId="1"/>
  </si>
  <si>
    <t>A_env_vert_UF_ref</t>
  </si>
  <si>
    <t>A_env_UF_ref</t>
  </si>
  <si>
    <t>A_env_ref</t>
    <phoneticPr fontId="1"/>
  </si>
  <si>
    <t>A_env_MR_ref / A'_env_ref</t>
    <phoneticPr fontId="1"/>
  </si>
  <si>
    <t>A_env_OR_ref / A'_env_ref</t>
    <phoneticPr fontId="1"/>
  </si>
  <si>
    <t>A_env_NO_ref / A'_env_ref</t>
    <phoneticPr fontId="1"/>
  </si>
  <si>
    <t>推定住戸の床下空間の外皮面積の全体に占める割合</t>
    <rPh sb="0" eb="2">
      <t>スイテイ</t>
    </rPh>
    <rPh sb="2" eb="4">
      <t>ジュウコ</t>
    </rPh>
    <rPh sb="5" eb="7">
      <t>ユカシタ</t>
    </rPh>
    <rPh sb="7" eb="9">
      <t>クウカン</t>
    </rPh>
    <rPh sb="10" eb="12">
      <t>ガイヒ</t>
    </rPh>
    <rPh sb="12" eb="14">
      <t>メンセキ</t>
    </rPh>
    <rPh sb="15" eb="17">
      <t>ゼンタイ</t>
    </rPh>
    <rPh sb="18" eb="19">
      <t>シ</t>
    </rPh>
    <rPh sb="21" eb="23">
      <t>ワリアイ</t>
    </rPh>
    <phoneticPr fontId="1"/>
  </si>
  <si>
    <t>A_env_UF_ref / A'_env_ref</t>
    <phoneticPr fontId="1"/>
  </si>
  <si>
    <t>A_env_south_ref</t>
    <phoneticPr fontId="1"/>
  </si>
  <si>
    <t>A_env_east_ref</t>
    <phoneticPr fontId="1"/>
  </si>
  <si>
    <t>A_env_north_ref</t>
    <phoneticPr fontId="1"/>
  </si>
  <si>
    <t>A_env_west_ref</t>
    <phoneticPr fontId="1"/>
  </si>
  <si>
    <t>A_env_vert_ref</t>
    <phoneticPr fontId="1"/>
  </si>
  <si>
    <t>A_env_top_ref</t>
    <phoneticPr fontId="1"/>
  </si>
  <si>
    <t>A_env_botom_ref</t>
    <phoneticPr fontId="1"/>
  </si>
  <si>
    <t>A_env_horz_ref</t>
    <phoneticPr fontId="1"/>
  </si>
  <si>
    <t>A_ref</t>
    <phoneticPr fontId="1"/>
  </si>
  <si>
    <t>A_env_south_UF</t>
    <phoneticPr fontId="1"/>
  </si>
  <si>
    <t>A_env_east_UF</t>
  </si>
  <si>
    <t>A_env_north_UF</t>
  </si>
  <si>
    <t>A_env_west_UF</t>
  </si>
  <si>
    <t>A_env_vert_UF</t>
  </si>
  <si>
    <t>A_env_UF</t>
  </si>
  <si>
    <t>A_env_top_UF_ex</t>
    <phoneticPr fontId="1"/>
  </si>
  <si>
    <t>A_env_bottom_UF</t>
    <phoneticPr fontId="1"/>
  </si>
  <si>
    <t>A_env_top_UF</t>
    <phoneticPr fontId="1"/>
  </si>
  <si>
    <t>A_env_horz_UF</t>
    <phoneticPr fontId="1"/>
  </si>
  <si>
    <t>A_env_bottom_UF_ref</t>
    <phoneticPr fontId="1"/>
  </si>
  <si>
    <t>○入力された面積情報を基に面積を調整する</t>
    <rPh sb="1" eb="3">
      <t>ニュウリョク</t>
    </rPh>
    <rPh sb="6" eb="8">
      <t>メンセキ</t>
    </rPh>
    <rPh sb="8" eb="10">
      <t>ジョウホウ</t>
    </rPh>
    <rPh sb="11" eb="12">
      <t>モト</t>
    </rPh>
    <rPh sb="13" eb="15">
      <t>メンセキ</t>
    </rPh>
    <rPh sb="16" eb="18">
      <t>チョウセイ</t>
    </rPh>
    <phoneticPr fontId="1"/>
  </si>
  <si>
    <t>○外皮を外気に接する部分と接しない部分に分ける</t>
    <rPh sb="1" eb="3">
      <t>ガイヒ</t>
    </rPh>
    <rPh sb="4" eb="6">
      <t>ガイキ</t>
    </rPh>
    <rPh sb="7" eb="8">
      <t>セッ</t>
    </rPh>
    <rPh sb="10" eb="12">
      <t>ブブン</t>
    </rPh>
    <rPh sb="13" eb="14">
      <t>セッ</t>
    </rPh>
    <rPh sb="17" eb="19">
      <t>ブブン</t>
    </rPh>
    <rPh sb="20" eb="21">
      <t>ワ</t>
    </rPh>
    <phoneticPr fontId="1"/>
  </si>
  <si>
    <t>A_env_MR 相当</t>
    <rPh sb="9" eb="11">
      <t>ソウトウ</t>
    </rPh>
    <phoneticPr fontId="1"/>
  </si>
  <si>
    <t>A_env_OR 相当</t>
    <rPh sb="9" eb="11">
      <t>ソウトウ</t>
    </rPh>
    <phoneticPr fontId="1"/>
  </si>
  <si>
    <t>A_env_NO 相当</t>
    <rPh sb="9" eb="11">
      <t>ソウトウ</t>
    </rPh>
    <phoneticPr fontId="1"/>
  </si>
  <si>
    <t>A_env_UF 相当</t>
    <rPh sb="9" eb="11">
      <t>ソウトウ</t>
    </rPh>
    <phoneticPr fontId="1"/>
  </si>
  <si>
    <t>A_env 相当</t>
    <rPh sb="6" eb="8">
      <t>ソウトウ</t>
    </rPh>
    <phoneticPr fontId="1"/>
  </si>
  <si>
    <t>A_env_ex 相当</t>
    <rPh sb="9" eb="11">
      <t>ソウトウ</t>
    </rPh>
    <phoneticPr fontId="1"/>
  </si>
  <si>
    <t>A_env_bottom_UF_ex</t>
    <phoneticPr fontId="1"/>
  </si>
  <si>
    <t>A_env_UF_ex</t>
    <phoneticPr fontId="1"/>
  </si>
  <si>
    <t>A_env_south_UF_ex</t>
    <phoneticPr fontId="1"/>
  </si>
  <si>
    <t>A_env_east_UF_ex</t>
    <phoneticPr fontId="1"/>
  </si>
  <si>
    <t>A_env_north_UF_ex</t>
    <phoneticPr fontId="1"/>
  </si>
  <si>
    <t>A_env_west_UF_ex</t>
    <phoneticPr fontId="1"/>
  </si>
  <si>
    <t>A_env_vert_UF_ex</t>
    <phoneticPr fontId="1"/>
  </si>
  <si>
    <t>A_env_top_UF_in</t>
    <phoneticPr fontId="1"/>
  </si>
  <si>
    <t>推定住戸の床下空間の基礎の垂直部分の面積</t>
    <rPh sb="5" eb="7">
      <t>ユカシタ</t>
    </rPh>
    <rPh sb="7" eb="9">
      <t>クウカン</t>
    </rPh>
    <rPh sb="10" eb="12">
      <t>キソ</t>
    </rPh>
    <rPh sb="13" eb="15">
      <t>スイチョク</t>
    </rPh>
    <rPh sb="15" eb="17">
      <t>ブブン</t>
    </rPh>
    <phoneticPr fontId="1"/>
  </si>
  <si>
    <t>A_env_vert_UF</t>
    <phoneticPr fontId="1"/>
  </si>
  <si>
    <t>A_env_bottom_UF_in</t>
    <phoneticPr fontId="1"/>
  </si>
  <si>
    <t>A_env_horz_UF_in</t>
    <phoneticPr fontId="1"/>
  </si>
  <si>
    <t>A_env_south_UF_in</t>
    <phoneticPr fontId="1"/>
  </si>
  <si>
    <t>A_env_east_UF_in</t>
    <phoneticPr fontId="1"/>
  </si>
  <si>
    <t>A_env_north_UF_in</t>
    <phoneticPr fontId="1"/>
  </si>
  <si>
    <t>A_env_west_UF_in</t>
    <phoneticPr fontId="1"/>
  </si>
  <si>
    <t>A_env_vert_UF_in</t>
    <phoneticPr fontId="1"/>
  </si>
  <si>
    <t>A_env_UF_in</t>
    <phoneticPr fontId="1"/>
  </si>
  <si>
    <t>A_env_horz_in</t>
    <phoneticPr fontId="1"/>
  </si>
  <si>
    <t>外気・土壌に接する外皮</t>
    <rPh sb="0" eb="2">
      <t>ガイキ</t>
    </rPh>
    <rPh sb="3" eb="5">
      <t>ドジョウ</t>
    </rPh>
    <rPh sb="6" eb="7">
      <t>セッ</t>
    </rPh>
    <rPh sb="9" eb="11">
      <t>ガイヒ</t>
    </rPh>
    <phoneticPr fontId="1"/>
  </si>
  <si>
    <t>外気・土壌に接しない外皮</t>
    <rPh sb="0" eb="2">
      <t>ガイキ</t>
    </rPh>
    <rPh sb="3" eb="5">
      <t>ドジョウ</t>
    </rPh>
    <rPh sb="6" eb="7">
      <t>セッ</t>
    </rPh>
    <rPh sb="10" eb="12">
      <t>ガイヒ</t>
    </rPh>
    <phoneticPr fontId="1"/>
  </si>
  <si>
    <t>○開口部の面積</t>
    <rPh sb="1" eb="4">
      <t>カイコウブ</t>
    </rPh>
    <rPh sb="5" eb="7">
      <t>メンセキ</t>
    </rPh>
    <phoneticPr fontId="1"/>
  </si>
  <si>
    <t>〇外気・土壌に接する外皮に占める開口部面積の比率</t>
    <rPh sb="1" eb="3">
      <t>ガイキ</t>
    </rPh>
    <rPh sb="4" eb="6">
      <t>ドジョウ</t>
    </rPh>
    <rPh sb="7" eb="8">
      <t>セッ</t>
    </rPh>
    <rPh sb="10" eb="12">
      <t>ガイヒ</t>
    </rPh>
    <rPh sb="13" eb="14">
      <t>シ</t>
    </rPh>
    <rPh sb="16" eb="19">
      <t>カイコウブ</t>
    </rPh>
    <rPh sb="19" eb="21">
      <t>メンセキ</t>
    </rPh>
    <rPh sb="22" eb="24">
      <t>ヒリツ</t>
    </rPh>
    <phoneticPr fontId="1"/>
  </si>
  <si>
    <t>開口部</t>
    <rPh sb="0" eb="3">
      <t>カイコウブ</t>
    </rPh>
    <phoneticPr fontId="1"/>
  </si>
  <si>
    <t>開口部合計</t>
    <rPh sb="0" eb="3">
      <t>カイコウブ</t>
    </rPh>
    <rPh sb="3" eb="5">
      <t>ゴウケイ</t>
    </rPh>
    <phoneticPr fontId="1"/>
  </si>
  <si>
    <t>参照住戸の開口部の面積</t>
    <rPh sb="0" eb="2">
      <t>サンショウ</t>
    </rPh>
    <rPh sb="2" eb="4">
      <t>ジュウコ</t>
    </rPh>
    <rPh sb="5" eb="8">
      <t>カイコウブ</t>
    </rPh>
    <rPh sb="9" eb="11">
      <t>メンセキ</t>
    </rPh>
    <phoneticPr fontId="1"/>
  </si>
  <si>
    <t>A_env_win_south_ref</t>
    <phoneticPr fontId="1"/>
  </si>
  <si>
    <t>A_env_win_east_ref</t>
    <phoneticPr fontId="1"/>
  </si>
  <si>
    <t>A_env_win_north_ref</t>
    <phoneticPr fontId="1"/>
  </si>
  <si>
    <t>A_env_win_west_ref</t>
    <phoneticPr fontId="1"/>
  </si>
  <si>
    <t>A_env_win_ref</t>
    <phoneticPr fontId="1"/>
  </si>
  <si>
    <t>A_env_door_north_ref</t>
    <phoneticPr fontId="1"/>
  </si>
  <si>
    <t>A_env_door_west_ref</t>
    <phoneticPr fontId="1"/>
  </si>
  <si>
    <t>A_env_door_ref</t>
    <phoneticPr fontId="1"/>
  </si>
  <si>
    <t>A_env_win_MR_ref</t>
    <phoneticPr fontId="1"/>
  </si>
  <si>
    <t>A_env_win_OR_ref</t>
    <phoneticPr fontId="1"/>
  </si>
  <si>
    <t>A_env_win_NO_ref</t>
    <phoneticPr fontId="1"/>
  </si>
  <si>
    <t>A_env_door_MR_ref</t>
    <phoneticPr fontId="1"/>
  </si>
  <si>
    <t>A_env_door_OR_ref</t>
    <phoneticPr fontId="1"/>
  </si>
  <si>
    <t>A_env_door_NO_ref</t>
    <phoneticPr fontId="1"/>
  </si>
  <si>
    <t>A_env_op_ref</t>
    <phoneticPr fontId="1"/>
  </si>
  <si>
    <t>A_env_op_NO_ref</t>
    <phoneticPr fontId="1"/>
  </si>
  <si>
    <t>A_end_op_OR_ref</t>
    <phoneticPr fontId="1"/>
  </si>
  <si>
    <t>A_end_op_MR_ref</t>
    <phoneticPr fontId="1"/>
  </si>
  <si>
    <t>A_env_win_south_MR</t>
    <phoneticPr fontId="1"/>
  </si>
  <si>
    <t>A_env_win_east_MR</t>
    <phoneticPr fontId="1"/>
  </si>
  <si>
    <t>A_env_win_north_MR</t>
    <phoneticPr fontId="1"/>
  </si>
  <si>
    <t>A_env_win_west_MR</t>
    <phoneticPr fontId="1"/>
  </si>
  <si>
    <t>A_env_win_MR</t>
    <phoneticPr fontId="1"/>
  </si>
  <si>
    <t>A_env_door_north_MR</t>
    <phoneticPr fontId="1"/>
  </si>
  <si>
    <t>A_env_door_west_MR</t>
    <phoneticPr fontId="1"/>
  </si>
  <si>
    <t>A_env_door_MR</t>
    <phoneticPr fontId="1"/>
  </si>
  <si>
    <t>A_env_op_MR</t>
    <phoneticPr fontId="1"/>
  </si>
  <si>
    <t>A_env_win_south_OR</t>
    <phoneticPr fontId="1"/>
  </si>
  <si>
    <t>A_env_win_east_OR</t>
    <phoneticPr fontId="1"/>
  </si>
  <si>
    <t>A_env_win_north_OR</t>
    <phoneticPr fontId="1"/>
  </si>
  <si>
    <t>A_env_win_west_OR</t>
    <phoneticPr fontId="1"/>
  </si>
  <si>
    <t>A_env_win_OR</t>
    <phoneticPr fontId="1"/>
  </si>
  <si>
    <t>A_env_door_north_OR</t>
    <phoneticPr fontId="1"/>
  </si>
  <si>
    <t>A_env_door_west_OR</t>
    <phoneticPr fontId="1"/>
  </si>
  <si>
    <t>A_env_door_OR</t>
    <phoneticPr fontId="1"/>
  </si>
  <si>
    <t>A_env_op_OR</t>
    <phoneticPr fontId="1"/>
  </si>
  <si>
    <t>A_env_win_south_NO</t>
    <phoneticPr fontId="1"/>
  </si>
  <si>
    <t>A_env_win_east_NO</t>
    <phoneticPr fontId="1"/>
  </si>
  <si>
    <t>A_env_win_north_NO</t>
    <phoneticPr fontId="1"/>
  </si>
  <si>
    <t>A_env_win_west_NO</t>
    <phoneticPr fontId="1"/>
  </si>
  <si>
    <t>A_env_win_NO</t>
    <phoneticPr fontId="1"/>
  </si>
  <si>
    <t>A_env_door_north_NO</t>
    <phoneticPr fontId="1"/>
  </si>
  <si>
    <t>A_env_door_west_NO</t>
    <phoneticPr fontId="1"/>
  </si>
  <si>
    <t>A_env_door_NO</t>
    <phoneticPr fontId="1"/>
  </si>
  <si>
    <t>A_env_op_NO</t>
    <phoneticPr fontId="1"/>
  </si>
  <si>
    <t>A_env_win_south</t>
    <phoneticPr fontId="1"/>
  </si>
  <si>
    <t>A_env_win_east</t>
    <phoneticPr fontId="1"/>
  </si>
  <si>
    <t>A_env_win_north</t>
    <phoneticPr fontId="1"/>
  </si>
  <si>
    <t>A_env_win_west</t>
    <phoneticPr fontId="1"/>
  </si>
  <si>
    <t>A_env_door_north</t>
    <phoneticPr fontId="1"/>
  </si>
  <si>
    <t>A_env_door_west</t>
    <phoneticPr fontId="1"/>
  </si>
  <si>
    <t>A_end_door</t>
    <phoneticPr fontId="1"/>
  </si>
  <si>
    <t>A_env_op 相当</t>
    <rPh sb="9" eb="11">
      <t>ソウトウ</t>
    </rPh>
    <phoneticPr fontId="1"/>
  </si>
  <si>
    <t>推定住戸の開口部面積</t>
    <rPh sb="0" eb="2">
      <t>スイテイ</t>
    </rPh>
    <rPh sb="2" eb="4">
      <t>ジュウコ</t>
    </rPh>
    <rPh sb="5" eb="8">
      <t>カイコウブ</t>
    </rPh>
    <rPh sb="8" eb="10">
      <t>メンセキ</t>
    </rPh>
    <phoneticPr fontId="1"/>
  </si>
  <si>
    <r>
      <rPr>
        <sz val="11"/>
        <color theme="1"/>
        <rFont val="Segoe UI Symbol"/>
        <family val="2"/>
      </rPr>
      <t>👈</t>
    </r>
    <r>
      <rPr>
        <sz val="11"/>
        <color theme="1"/>
        <rFont val="游ゴシック"/>
        <family val="2"/>
        <charset val="128"/>
        <scheme val="minor"/>
      </rPr>
      <t>分割した値を合計して元に戻ることを確認</t>
    </r>
    <rPh sb="2" eb="4">
      <t>ブンカツ</t>
    </rPh>
    <rPh sb="6" eb="7">
      <t>アタイ</t>
    </rPh>
    <rPh sb="8" eb="10">
      <t>ゴウケイ</t>
    </rPh>
    <rPh sb="12" eb="13">
      <t>モト</t>
    </rPh>
    <rPh sb="14" eb="15">
      <t>モド</t>
    </rPh>
    <rPh sb="19" eb="21">
      <t>カクニン</t>
    </rPh>
    <phoneticPr fontId="1"/>
  </si>
  <si>
    <t>外気・土壌に接する外壁等</t>
    <rPh sb="0" eb="2">
      <t>ガイキ</t>
    </rPh>
    <rPh sb="3" eb="5">
      <t>ドジョウ</t>
    </rPh>
    <rPh sb="6" eb="7">
      <t>セッ</t>
    </rPh>
    <rPh sb="9" eb="12">
      <t>ガイヘキトウ</t>
    </rPh>
    <phoneticPr fontId="1"/>
  </si>
  <si>
    <t>外気・土壌に接する外壁等</t>
    <rPh sb="0" eb="2">
      <t>ガイキ</t>
    </rPh>
    <rPh sb="3" eb="5">
      <t>ドジョウ</t>
    </rPh>
    <rPh sb="6" eb="7">
      <t>セッ</t>
    </rPh>
    <rPh sb="9" eb="11">
      <t>ガイヘキ</t>
    </rPh>
    <rPh sb="11" eb="12">
      <t>トウ</t>
    </rPh>
    <phoneticPr fontId="1"/>
  </si>
  <si>
    <t>垂直外皮合計</t>
    <rPh sb="0" eb="2">
      <t>スイチョク</t>
    </rPh>
    <rPh sb="2" eb="4">
      <t>ガイヒ</t>
    </rPh>
    <rPh sb="4" eb="6">
      <t>ゴウケイ</t>
    </rPh>
    <phoneticPr fontId="1"/>
  </si>
  <si>
    <t>A_env_wall_south_ex_MR</t>
    <phoneticPr fontId="1"/>
  </si>
  <si>
    <t>A_env_wall_east_ex_MR</t>
    <phoneticPr fontId="1"/>
  </si>
  <si>
    <t>A_env_wall_north_ex_MR</t>
    <phoneticPr fontId="1"/>
  </si>
  <si>
    <t>A_env_wall_west_ex_MR</t>
    <phoneticPr fontId="1"/>
  </si>
  <si>
    <t>A_env_wall_south_ex_OR</t>
    <phoneticPr fontId="1"/>
  </si>
  <si>
    <t>A_env_wall_east_ex_OR</t>
    <phoneticPr fontId="1"/>
  </si>
  <si>
    <t>A_env_wall_north_ex_OR</t>
    <phoneticPr fontId="1"/>
  </si>
  <si>
    <t>A_env_wall_west_ex_OR</t>
    <phoneticPr fontId="1"/>
  </si>
  <si>
    <t>A_env_wall_south_ex_NO</t>
    <phoneticPr fontId="1"/>
  </si>
  <si>
    <t>A_env_wall_east_ex_NO</t>
    <phoneticPr fontId="1"/>
  </si>
  <si>
    <t>A_env_wall_north_ex_NO</t>
    <phoneticPr fontId="1"/>
  </si>
  <si>
    <t>A_env_wall_west_ex_NO</t>
    <phoneticPr fontId="1"/>
  </si>
  <si>
    <t>A_env_wall_south_ex</t>
    <phoneticPr fontId="1"/>
  </si>
  <si>
    <t>A_env_wall_east_ex</t>
    <phoneticPr fontId="1"/>
  </si>
  <si>
    <t>A_env_wall_north_ex</t>
    <phoneticPr fontId="1"/>
  </si>
  <si>
    <t>A_env_wall_west_ex</t>
    <phoneticPr fontId="1"/>
  </si>
  <si>
    <t>A_env_vert_MR_ex 相当</t>
    <rPh sb="17" eb="19">
      <t>ソウトウ</t>
    </rPh>
    <phoneticPr fontId="1"/>
  </si>
  <si>
    <t>A_env_vert_OR_ex 相当</t>
    <rPh sb="17" eb="19">
      <t>ソウトウ</t>
    </rPh>
    <phoneticPr fontId="1"/>
  </si>
  <si>
    <t>A_env_vert_NO_ex 相当</t>
    <rPh sb="17" eb="19">
      <t>ソウトウ</t>
    </rPh>
    <phoneticPr fontId="1"/>
  </si>
  <si>
    <t>A_env_vert_ex 相当</t>
    <rPh sb="14" eb="16">
      <t>ソウトウ</t>
    </rPh>
    <phoneticPr fontId="1"/>
  </si>
  <si>
    <t>屋根・天井</t>
  </si>
  <si>
    <t>屋根・天井</t>
    <rPh sb="0" eb="2">
      <t>ヤネ</t>
    </rPh>
    <rPh sb="3" eb="5">
      <t>テンジョウ</t>
    </rPh>
    <phoneticPr fontId="1"/>
  </si>
  <si>
    <t>床・土間</t>
    <rPh sb="0" eb="1">
      <t>ユカ</t>
    </rPh>
    <rPh sb="2" eb="4">
      <t>ドマ</t>
    </rPh>
    <phoneticPr fontId="1"/>
  </si>
  <si>
    <t>天井</t>
    <rPh sb="0" eb="2">
      <t>テンジョウ</t>
    </rPh>
    <phoneticPr fontId="1"/>
  </si>
  <si>
    <t>垂直壁</t>
    <rPh sb="0" eb="2">
      <t>スイチョク</t>
    </rPh>
    <rPh sb="2" eb="3">
      <t>ヘキ</t>
    </rPh>
    <phoneticPr fontId="1"/>
  </si>
  <si>
    <t>A_env_door</t>
    <phoneticPr fontId="1"/>
  </si>
  <si>
    <t>外気・土壌に接しない外壁等</t>
    <rPh sb="0" eb="2">
      <t>ガイキ</t>
    </rPh>
    <rPh sb="3" eb="5">
      <t>ドジョウ</t>
    </rPh>
    <rPh sb="6" eb="7">
      <t>セッ</t>
    </rPh>
    <rPh sb="10" eb="12">
      <t>ガイヘキ</t>
    </rPh>
    <rPh sb="12" eb="13">
      <t>トウ</t>
    </rPh>
    <phoneticPr fontId="1"/>
  </si>
  <si>
    <t>A_env_wall_vert_ex_MR</t>
    <phoneticPr fontId="1"/>
  </si>
  <si>
    <t>A_env_wall_vert_ex_OR</t>
    <phoneticPr fontId="1"/>
  </si>
  <si>
    <t>A_env_wall_vert_ex_NO</t>
    <phoneticPr fontId="1"/>
  </si>
  <si>
    <t>A_env_wall_vert_ex</t>
    <phoneticPr fontId="1"/>
  </si>
  <si>
    <t>外気に接する外壁等</t>
    <rPh sb="0" eb="2">
      <t>ガイキ</t>
    </rPh>
    <rPh sb="3" eb="4">
      <t>セッ</t>
    </rPh>
    <rPh sb="6" eb="8">
      <t>ガイヘキ</t>
    </rPh>
    <rPh sb="8" eb="9">
      <t>トウ</t>
    </rPh>
    <phoneticPr fontId="1"/>
  </si>
  <si>
    <t>A_env_bottom_ex - A_env_bottom_UF_ex</t>
    <phoneticPr fontId="1"/>
  </si>
  <si>
    <t xml:space="preserve"> A_env_bottom_UF_ex</t>
    <phoneticPr fontId="1"/>
  </si>
  <si>
    <t>←戸建てかつ基礎断熱の場合のみ計算される</t>
    <rPh sb="1" eb="3">
      <t>コダ</t>
    </rPh>
    <rPh sb="6" eb="8">
      <t>キソ</t>
    </rPh>
    <rPh sb="8" eb="10">
      <t>ダンネツ</t>
    </rPh>
    <rPh sb="11" eb="13">
      <t>バアイ</t>
    </rPh>
    <rPh sb="15" eb="17">
      <t>ケイサン</t>
    </rPh>
    <phoneticPr fontId="1"/>
  </si>
  <si>
    <t>R_roof_ex_ins</t>
    <phoneticPr fontId="1"/>
  </si>
  <si>
    <t>R_wall_ex_ins</t>
    <phoneticPr fontId="1"/>
  </si>
  <si>
    <t>R_floor_ex_ins</t>
    <phoneticPr fontId="1"/>
  </si>
  <si>
    <t>R [m2K/W]
3.3.8.1</t>
    <phoneticPr fontId="1"/>
  </si>
  <si>
    <t>U_roof_ex</t>
    <phoneticPr fontId="1"/>
  </si>
  <si>
    <t>U_wall_ex</t>
    <phoneticPr fontId="1"/>
  </si>
  <si>
    <t>U_floor_ex</t>
    <phoneticPr fontId="1"/>
  </si>
  <si>
    <t>U [W/m2K]
3.3.8.2</t>
    <phoneticPr fontId="1"/>
  </si>
  <si>
    <t>U_win</t>
    <phoneticPr fontId="1"/>
  </si>
  <si>
    <t>U_door</t>
    <phoneticPr fontId="1"/>
  </si>
  <si>
    <t>断熱材の熱抵抗</t>
    <rPh sb="0" eb="3">
      <t>ダンネツザイ</t>
    </rPh>
    <rPh sb="4" eb="5">
      <t>ネツ</t>
    </rPh>
    <rPh sb="5" eb="7">
      <t>テイコウ</t>
    </rPh>
    <phoneticPr fontId="1"/>
  </si>
  <si>
    <t>熱貫流率</t>
    <rPh sb="0" eb="1">
      <t>ネツ</t>
    </rPh>
    <rPh sb="1" eb="3">
      <t>カンリュウ</t>
    </rPh>
    <rPh sb="3" eb="4">
      <t>リツ</t>
    </rPh>
    <phoneticPr fontId="1"/>
  </si>
  <si>
    <t>熱損失量</t>
    <rPh sb="0" eb="1">
      <t>ネツ</t>
    </rPh>
    <rPh sb="1" eb="3">
      <t>ソンシツ</t>
    </rPh>
    <rPh sb="3" eb="4">
      <t>リョウ</t>
    </rPh>
    <phoneticPr fontId="1"/>
  </si>
  <si>
    <t>q [W/m2K]
3.3.8.3</t>
    <phoneticPr fontId="1"/>
  </si>
  <si>
    <t>q_roof_ex</t>
    <phoneticPr fontId="1"/>
  </si>
  <si>
    <t>q_wall_ex</t>
    <phoneticPr fontId="1"/>
  </si>
  <si>
    <t>q_floor_ex</t>
    <phoneticPr fontId="1"/>
  </si>
  <si>
    <t>q_max [W/K]
3.3.8.7</t>
    <phoneticPr fontId="1"/>
  </si>
  <si>
    <t>U_max [W/m2K]
3.3.8.8</t>
    <phoneticPr fontId="1"/>
  </si>
  <si>
    <t>q_wall_max</t>
    <phoneticPr fontId="1"/>
  </si>
  <si>
    <t>q_min_max</t>
    <phoneticPr fontId="1"/>
  </si>
  <si>
    <t>q_door_max</t>
    <phoneticPr fontId="1"/>
  </si>
  <si>
    <t>q_roof_max</t>
    <phoneticPr fontId="1"/>
  </si>
  <si>
    <t>U_roof_ex_max</t>
    <phoneticPr fontId="1"/>
  </si>
  <si>
    <t>U_wall_ex_max</t>
    <phoneticPr fontId="1"/>
  </si>
  <si>
    <t>U_door_max</t>
    <phoneticPr fontId="1"/>
  </si>
  <si>
    <t>U_win_max</t>
    <phoneticPr fontId="1"/>
  </si>
  <si>
    <t>U_floor_ex_max</t>
    <phoneticPr fontId="1"/>
  </si>
  <si>
    <t>q_floor_max</t>
    <phoneticPr fontId="1"/>
  </si>
  <si>
    <t>U_roof_ex_ref</t>
    <phoneticPr fontId="1"/>
  </si>
  <si>
    <t>U_wall_ex_ref</t>
    <phoneticPr fontId="1"/>
  </si>
  <si>
    <t>参照住戸相当と仮定した場合</t>
    <rPh sb="0" eb="2">
      <t>サンショウ</t>
    </rPh>
    <rPh sb="2" eb="4">
      <t>ジュウコ</t>
    </rPh>
    <rPh sb="4" eb="6">
      <t>ソウトウ</t>
    </rPh>
    <rPh sb="7" eb="9">
      <t>カテイ</t>
    </rPh>
    <rPh sb="11" eb="13">
      <t>バアイ</t>
    </rPh>
    <phoneticPr fontId="1"/>
  </si>
  <si>
    <t>無断熱と仮定した場合</t>
    <rPh sb="0" eb="2">
      <t>ムダン</t>
    </rPh>
    <rPh sb="2" eb="3">
      <t>ネツ</t>
    </rPh>
    <rPh sb="4" eb="6">
      <t>カテイ</t>
    </rPh>
    <rPh sb="8" eb="10">
      <t>バアイ</t>
    </rPh>
    <phoneticPr fontId="1"/>
  </si>
  <si>
    <t>q_roof_basis</t>
    <phoneticPr fontId="1"/>
  </si>
  <si>
    <t>q_wall_basis</t>
    <phoneticPr fontId="1"/>
  </si>
  <si>
    <t>q_floor_basis</t>
    <phoneticPr fontId="1"/>
  </si>
  <si>
    <t>q_win_basis</t>
    <phoneticPr fontId="1"/>
  </si>
  <si>
    <t>q_door_basis</t>
    <phoneticPr fontId="1"/>
  </si>
  <si>
    <t>U_door_ref</t>
    <phoneticPr fontId="1"/>
  </si>
  <si>
    <t>U_win_ref</t>
    <phoneticPr fontId="1"/>
  </si>
  <si>
    <t>U_floor_ex_ref</t>
    <phoneticPr fontId="1"/>
  </si>
  <si>
    <t>基準q [W/K]
3.3.8.5</t>
    <rPh sb="0" eb="2">
      <t>キジュン</t>
    </rPh>
    <phoneticPr fontId="1"/>
  </si>
  <si>
    <t>基準U [W/m2K]
3.3.8.6</t>
    <rPh sb="0" eb="2">
      <t>キジュン</t>
    </rPh>
    <phoneticPr fontId="1"/>
  </si>
  <si>
    <t>q_basis</t>
    <phoneticPr fontId="1"/>
  </si>
  <si>
    <t>U_A</t>
    <phoneticPr fontId="1"/>
  </si>
  <si>
    <t>整理事項</t>
    <rPh sb="0" eb="2">
      <t>セイリ</t>
    </rPh>
    <rPh sb="2" eb="4">
      <t>ジコウ</t>
    </rPh>
    <phoneticPr fontId="1"/>
  </si>
  <si>
    <t>面積
3.3.8.9</t>
    <rPh sb="0" eb="2">
      <t>メンセキ</t>
    </rPh>
    <phoneticPr fontId="1"/>
  </si>
  <si>
    <t>温度差係数
3.3.8.10</t>
    <rPh sb="0" eb="5">
      <t>オンドサケイスウ</t>
    </rPh>
    <phoneticPr fontId="1"/>
  </si>
  <si>
    <t>土壌に接する地盤面</t>
    <rPh sb="0" eb="2">
      <t>ドジョウ</t>
    </rPh>
    <rPh sb="3" eb="4">
      <t>セッ</t>
    </rPh>
    <rPh sb="6" eb="8">
      <t>ジバン</t>
    </rPh>
    <rPh sb="8" eb="9">
      <t>メン</t>
    </rPh>
    <phoneticPr fontId="1"/>
  </si>
  <si>
    <t>基礎壁</t>
    <rPh sb="0" eb="2">
      <t>キソ</t>
    </rPh>
    <rPh sb="2" eb="3">
      <t>カベ</t>
    </rPh>
    <phoneticPr fontId="1"/>
  </si>
  <si>
    <t>q_base_basis</t>
    <phoneticPr fontId="1"/>
  </si>
  <si>
    <t>q_base_max</t>
    <phoneticPr fontId="1"/>
  </si>
  <si>
    <t>q_base</t>
    <phoneticPr fontId="1"/>
  </si>
  <si>
    <t>U_base</t>
    <phoneticPr fontId="1"/>
  </si>
  <si>
    <t>q_win</t>
    <phoneticPr fontId="1"/>
  </si>
  <si>
    <t>q_door</t>
    <phoneticPr fontId="1"/>
  </si>
  <si>
    <t>記号</t>
    <rPh sb="0" eb="2">
      <t>キゴウ</t>
    </rPh>
    <phoneticPr fontId="1"/>
  </si>
  <si>
    <t>U_roof</t>
    <phoneticPr fontId="1"/>
  </si>
  <si>
    <t>U_wall</t>
    <phoneticPr fontId="1"/>
  </si>
  <si>
    <t>U_floor</t>
    <phoneticPr fontId="1"/>
  </si>
  <si>
    <t>面積 [m2]</t>
    <rPh sb="0" eb="2">
      <t>メンセキ</t>
    </rPh>
    <phoneticPr fontId="1"/>
  </si>
  <si>
    <t>U値 [W/m2K]</t>
    <rPh sb="1" eb="2">
      <t>アタイ</t>
    </rPh>
    <phoneticPr fontId="1"/>
  </si>
  <si>
    <t>方位係数 [-]</t>
    <rPh sb="0" eb="2">
      <t>ホウイ</t>
    </rPh>
    <rPh sb="2" eb="4">
      <t>ケイスウ</t>
    </rPh>
    <phoneticPr fontId="1"/>
  </si>
  <si>
    <t>日よけ効果係数 [-]</t>
    <rPh sb="0" eb="1">
      <t>ヒ</t>
    </rPh>
    <rPh sb="3" eb="5">
      <t>コウカ</t>
    </rPh>
    <rPh sb="5" eb="7">
      <t>ケイスウ</t>
    </rPh>
    <phoneticPr fontId="1"/>
  </si>
  <si>
    <t>A_MR</t>
    <phoneticPr fontId="1"/>
  </si>
  <si>
    <t>A_OR</t>
    <phoneticPr fontId="1"/>
  </si>
  <si>
    <t>A_NO</t>
    <phoneticPr fontId="1"/>
  </si>
  <si>
    <t>A</t>
    <phoneticPr fontId="1"/>
  </si>
  <si>
    <t>r''_env_ex</t>
    <phoneticPr fontId="1"/>
  </si>
  <si>
    <t>R_base_ins</t>
    <phoneticPr fontId="1"/>
  </si>
  <si>
    <t>A_env_horz_UF_ex</t>
    <phoneticPr fontId="1"/>
  </si>
  <si>
    <t>部位</t>
    <rPh sb="0" eb="2">
      <t>ブイ</t>
    </rPh>
    <phoneticPr fontId="1"/>
  </si>
  <si>
    <t>R_roof</t>
    <phoneticPr fontId="1"/>
  </si>
  <si>
    <t>R_wall</t>
    <phoneticPr fontId="1"/>
  </si>
  <si>
    <t>R_floor</t>
    <phoneticPr fontId="1"/>
  </si>
  <si>
    <t>R_base</t>
    <phoneticPr fontId="1"/>
  </si>
  <si>
    <t>断熱材のR値</t>
    <rPh sb="0" eb="3">
      <t>ダンネツザイ</t>
    </rPh>
    <rPh sb="5" eb="6">
      <t>アタイ</t>
    </rPh>
    <phoneticPr fontId="1"/>
  </si>
  <si>
    <t>戸建て</t>
  </si>
  <si>
    <t>q_margin</t>
    <phoneticPr fontId="1"/>
  </si>
  <si>
    <t>q_diff</t>
    <phoneticPr fontId="1"/>
  </si>
  <si>
    <t>r_q_margin_plus</t>
    <phoneticPr fontId="1"/>
  </si>
  <si>
    <t>r_q_margin_minus</t>
    <phoneticPr fontId="1"/>
  </si>
  <si>
    <t>q</t>
    <phoneticPr fontId="1"/>
  </si>
  <si>
    <t>基礎断熱</t>
  </si>
  <si>
    <t>暖房期の方位係数</t>
    <rPh sb="0" eb="2">
      <t>ダンボウ</t>
    </rPh>
    <phoneticPr fontId="1"/>
  </si>
  <si>
    <t>U_base_max</t>
    <phoneticPr fontId="1"/>
  </si>
  <si>
    <t>U_base_ref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</si>
</sst>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0"/>
    <numFmt numFmtId="177" formatCode="0.00_ "/>
    <numFmt numFmtId="178" formatCode="0.0_ "/>
    <numFmt numFmtId="179" formatCode="0.00000000000_ "/>
    <numFmt numFmtId="180" formatCode="0.00000000000000_ "/>
    <numFmt numFmtId="181" formatCode="0.000000"/>
  </numFmts>
  <fonts count="19">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sz val="9"/>
      <color indexed="81"/>
      <name val="MS P ゴシック"/>
      <family val="3"/>
      <charset val="128"/>
    </font>
    <font>
      <b/>
      <sz val="9"/>
      <color indexed="81"/>
      <name val="MS P ゴシック"/>
      <family val="3"/>
      <charset val="128"/>
    </font>
    <font>
      <sz val="11"/>
      <color theme="1"/>
      <name val="游ゴシック"/>
      <family val="3"/>
      <charset val="128"/>
      <scheme val="minor"/>
    </font>
    <font>
      <b/>
      <sz val="11"/>
      <color rgb="FFFF0000"/>
      <name val="游ゴシック"/>
      <family val="3"/>
      <charset val="128"/>
      <scheme val="minor"/>
    </font>
    <font>
      <b/>
      <sz val="11"/>
      <color theme="1"/>
      <name val="游ゴシック"/>
      <family val="2"/>
      <charset val="128"/>
      <scheme val="minor"/>
    </font>
    <font>
      <sz val="11"/>
      <name val="Consolas"/>
      <family val="3"/>
    </font>
    <font>
      <sz val="11"/>
      <name val="游ゴシック"/>
      <family val="2"/>
      <charset val="128"/>
      <scheme val="minor"/>
    </font>
    <font>
      <b/>
      <sz val="11"/>
      <name val="游ゴシック"/>
      <family val="2"/>
      <charset val="128"/>
      <scheme val="minor"/>
    </font>
    <font>
      <sz val="9"/>
      <color theme="1"/>
      <name val="游ゴシック"/>
      <family val="3"/>
      <charset val="128"/>
      <scheme val="minor"/>
    </font>
    <font>
      <i/>
      <sz val="11"/>
      <color theme="1"/>
      <name val="游ゴシック"/>
      <family val="3"/>
      <charset val="128"/>
      <scheme val="minor"/>
    </font>
    <font>
      <i/>
      <sz val="10"/>
      <color theme="1"/>
      <name val="游ゴシック"/>
      <family val="3"/>
      <charset val="128"/>
      <scheme val="minor"/>
    </font>
    <font>
      <b/>
      <i/>
      <sz val="10"/>
      <color theme="1"/>
      <name val="游ゴシック"/>
      <family val="3"/>
      <charset val="128"/>
      <scheme val="minor"/>
    </font>
    <font>
      <sz val="11"/>
      <color theme="1"/>
      <name val="Segoe UI Symbol"/>
      <family val="2"/>
    </font>
    <font>
      <b/>
      <i/>
      <sz val="10"/>
      <color rgb="FFFF0000"/>
      <name val="游ゴシック"/>
      <family val="3"/>
      <charset val="128"/>
      <scheme val="minor"/>
    </font>
  </fonts>
  <fills count="19">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0" tint="-0.3499862666707357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style="thin">
        <color indexed="64"/>
      </bottom>
      <diagonal style="thin">
        <color auto="1"/>
      </diagonal>
    </border>
    <border>
      <left/>
      <right/>
      <top style="thin">
        <color indexed="64"/>
      </top>
      <bottom style="thin">
        <color indexed="64"/>
      </bottom>
      <diagonal/>
    </border>
    <border diagonalDown="1">
      <left style="thin">
        <color indexed="64"/>
      </left>
      <right style="thin">
        <color indexed="64"/>
      </right>
      <top/>
      <bottom style="thin">
        <color indexed="64"/>
      </bottom>
      <diagonal style="thin">
        <color auto="1"/>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diagonalDown="1">
      <left style="thin">
        <color indexed="64"/>
      </left>
      <right style="thin">
        <color indexed="64"/>
      </right>
      <top style="thin">
        <color indexed="64"/>
      </top>
      <bottom/>
      <diagonal style="thin">
        <color auto="1"/>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2">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2" borderId="1" xfId="0" applyFill="1" applyBorder="1">
      <alignment vertical="center"/>
    </xf>
    <xf numFmtId="0" fontId="0" fillId="3" borderId="1" xfId="0" applyFill="1" applyBorder="1">
      <alignment vertical="center"/>
    </xf>
    <xf numFmtId="0" fontId="0" fillId="0" borderId="7" xfId="0" applyBorder="1">
      <alignment vertical="center"/>
    </xf>
    <xf numFmtId="0" fontId="0" fillId="3" borderId="1" xfId="0" applyFill="1" applyBorder="1" applyAlignment="1">
      <alignment horizontal="center" vertical="center"/>
    </xf>
    <xf numFmtId="0" fontId="3" fillId="0" borderId="0" xfId="0" applyFont="1">
      <alignment vertical="center"/>
    </xf>
    <xf numFmtId="0" fontId="0" fillId="4" borderId="1" xfId="0" applyFill="1" applyBorder="1">
      <alignment vertical="center"/>
    </xf>
    <xf numFmtId="0" fontId="2" fillId="0" borderId="0" xfId="1">
      <alignment vertical="center"/>
    </xf>
    <xf numFmtId="0" fontId="0" fillId="5" borderId="1" xfId="0" applyFill="1" applyBorder="1">
      <alignment vertical="center"/>
    </xf>
    <xf numFmtId="0" fontId="0" fillId="6" borderId="1" xfId="0" applyFill="1" applyBorder="1">
      <alignment vertical="center"/>
    </xf>
    <xf numFmtId="0" fontId="3" fillId="4" borderId="1" xfId="0" applyFont="1" applyFill="1" applyBorder="1">
      <alignment vertical="center"/>
    </xf>
    <xf numFmtId="0" fontId="0" fillId="7" borderId="1" xfId="0" applyFill="1" applyBorder="1">
      <alignment vertical="center"/>
    </xf>
    <xf numFmtId="0" fontId="0" fillId="8" borderId="1" xfId="0" applyFill="1" applyBorder="1">
      <alignment vertical="center"/>
    </xf>
    <xf numFmtId="0" fontId="4" fillId="0" borderId="1" xfId="0" applyFont="1" applyBorder="1">
      <alignment vertical="center"/>
    </xf>
    <xf numFmtId="0" fontId="0" fillId="9" borderId="1" xfId="0" applyFill="1" applyBorder="1">
      <alignment vertical="center"/>
    </xf>
    <xf numFmtId="0" fontId="0" fillId="3" borderId="5" xfId="0" applyFill="1" applyBorder="1">
      <alignment vertical="center"/>
    </xf>
    <xf numFmtId="0" fontId="0" fillId="3" borderId="2" xfId="0" applyFill="1" applyBorder="1">
      <alignment vertical="center"/>
    </xf>
    <xf numFmtId="0" fontId="0" fillId="0" borderId="9" xfId="0" applyBorder="1">
      <alignment vertical="center"/>
    </xf>
    <xf numFmtId="0" fontId="3" fillId="0" borderId="1" xfId="0" applyFont="1" applyBorder="1">
      <alignment vertical="center"/>
    </xf>
    <xf numFmtId="0" fontId="0" fillId="0" borderId="11" xfId="0" applyBorder="1">
      <alignment vertical="center"/>
    </xf>
    <xf numFmtId="0" fontId="0" fillId="10" borderId="1" xfId="0" applyFill="1" applyBorder="1">
      <alignment vertical="center"/>
    </xf>
    <xf numFmtId="0" fontId="0" fillId="10" borderId="3" xfId="0" applyFill="1" applyBorder="1" applyAlignment="1">
      <alignment horizontal="center" vertical="center"/>
    </xf>
    <xf numFmtId="0" fontId="7" fillId="0" borderId="1" xfId="0" applyFont="1" applyBorder="1">
      <alignment vertical="center"/>
    </xf>
    <xf numFmtId="0" fontId="0" fillId="0" borderId="12" xfId="0" applyBorder="1">
      <alignment vertical="center"/>
    </xf>
    <xf numFmtId="0" fontId="7" fillId="3" borderId="1" xfId="0" applyFont="1" applyFill="1" applyBorder="1">
      <alignment vertical="center"/>
    </xf>
    <xf numFmtId="0" fontId="7" fillId="3" borderId="1" xfId="0" applyFont="1" applyFill="1" applyBorder="1" applyAlignment="1">
      <alignment vertical="center" shrinkToFit="1"/>
    </xf>
    <xf numFmtId="0" fontId="7" fillId="3" borderId="4" xfId="0" applyFont="1" applyFill="1" applyBorder="1" applyAlignment="1">
      <alignment vertical="center" shrinkToFit="1"/>
    </xf>
    <xf numFmtId="0" fontId="8" fillId="0" borderId="0" xfId="0" applyFont="1">
      <alignment vertical="center"/>
    </xf>
    <xf numFmtId="0" fontId="3" fillId="11" borderId="1" xfId="0" applyFont="1" applyFill="1" applyBorder="1">
      <alignment vertical="center"/>
    </xf>
    <xf numFmtId="0" fontId="11" fillId="0" borderId="0" xfId="0" applyFont="1">
      <alignment vertical="center"/>
    </xf>
    <xf numFmtId="0" fontId="9" fillId="0" borderId="0" xfId="0" applyFont="1">
      <alignment vertical="center"/>
    </xf>
    <xf numFmtId="0" fontId="12" fillId="0" borderId="0" xfId="0" applyFont="1">
      <alignment vertical="center"/>
    </xf>
    <xf numFmtId="0" fontId="7" fillId="0" borderId="0" xfId="0" applyFont="1">
      <alignment vertical="center"/>
    </xf>
    <xf numFmtId="0" fontId="10" fillId="0" borderId="1" xfId="0" applyFont="1" applyBorder="1">
      <alignment vertical="center"/>
    </xf>
    <xf numFmtId="0" fontId="11" fillId="0" borderId="1" xfId="0" applyFont="1" applyBorder="1">
      <alignment vertical="center"/>
    </xf>
    <xf numFmtId="0" fontId="9" fillId="10" borderId="1" xfId="0" applyFont="1" applyFill="1" applyBorder="1">
      <alignment vertical="center"/>
    </xf>
    <xf numFmtId="176" fontId="10" fillId="0" borderId="1" xfId="0" applyNumberFormat="1" applyFont="1" applyBorder="1">
      <alignment vertical="center"/>
    </xf>
    <xf numFmtId="176" fontId="11" fillId="0" borderId="1" xfId="0" applyNumberFormat="1" applyFont="1" applyBorder="1">
      <alignment vertical="center"/>
    </xf>
    <xf numFmtId="0" fontId="10" fillId="10" borderId="1" xfId="0" applyFont="1" applyFill="1" applyBorder="1">
      <alignment vertical="center"/>
    </xf>
    <xf numFmtId="176" fontId="10" fillId="10" borderId="1" xfId="0" applyNumberFormat="1" applyFont="1" applyFill="1" applyBorder="1">
      <alignment vertical="center"/>
    </xf>
    <xf numFmtId="176" fontId="0" fillId="0" borderId="1" xfId="0" applyNumberFormat="1" applyBorder="1">
      <alignment vertical="center"/>
    </xf>
    <xf numFmtId="0" fontId="0" fillId="0" borderId="0" xfId="0" applyAlignment="1">
      <alignment horizontal="right" vertical="center"/>
    </xf>
    <xf numFmtId="2" fontId="0" fillId="0" borderId="1" xfId="0" applyNumberFormat="1" applyBorder="1">
      <alignment vertical="center"/>
    </xf>
    <xf numFmtId="0" fontId="0" fillId="2" borderId="3" xfId="0" applyFill="1" applyBorder="1" applyAlignment="1">
      <alignment horizontal="center" vertical="center"/>
    </xf>
    <xf numFmtId="0" fontId="0" fillId="10" borderId="1" xfId="0" applyFill="1" applyBorder="1" applyAlignment="1">
      <alignment horizontal="center" vertical="center"/>
    </xf>
    <xf numFmtId="0" fontId="0" fillId="0" borderId="0" xfId="0" applyAlignment="1">
      <alignment horizontal="center" vertical="center"/>
    </xf>
    <xf numFmtId="2" fontId="0" fillId="12" borderId="1" xfId="0" applyNumberFormat="1" applyFill="1" applyBorder="1">
      <alignment vertical="center"/>
    </xf>
    <xf numFmtId="2" fontId="7" fillId="12" borderId="1" xfId="0" applyNumberFormat="1" applyFont="1" applyFill="1" applyBorder="1">
      <alignment vertical="center"/>
    </xf>
    <xf numFmtId="0" fontId="7" fillId="12" borderId="1" xfId="0" applyFont="1" applyFill="1" applyBorder="1">
      <alignment vertical="center"/>
    </xf>
    <xf numFmtId="0" fontId="0" fillId="12" borderId="1" xfId="0" applyFill="1" applyBorder="1">
      <alignment vertical="center"/>
    </xf>
    <xf numFmtId="2" fontId="3" fillId="0" borderId="10" xfId="0" applyNumberFormat="1" applyFont="1" applyBorder="1">
      <alignment vertical="center"/>
    </xf>
    <xf numFmtId="2" fontId="3" fillId="11" borderId="10" xfId="0" applyNumberFormat="1" applyFont="1" applyFill="1" applyBorder="1">
      <alignment vertical="center"/>
    </xf>
    <xf numFmtId="0" fontId="0" fillId="14" borderId="1" xfId="0" applyFill="1" applyBorder="1" applyAlignment="1"/>
    <xf numFmtId="0" fontId="0" fillId="15" borderId="1" xfId="0" applyFill="1" applyBorder="1" applyAlignment="1"/>
    <xf numFmtId="0" fontId="0" fillId="2" borderId="0" xfId="0" applyFill="1">
      <alignment vertical="center"/>
    </xf>
    <xf numFmtId="0" fontId="0" fillId="13" borderId="0" xfId="0" applyFill="1">
      <alignment vertical="center"/>
    </xf>
    <xf numFmtId="0" fontId="13" fillId="0" borderId="0" xfId="0" applyFont="1">
      <alignment vertical="center"/>
    </xf>
    <xf numFmtId="0" fontId="0" fillId="10" borderId="1" xfId="0" applyFill="1" applyBorder="1" applyAlignment="1">
      <alignment vertical="center" wrapText="1"/>
    </xf>
    <xf numFmtId="0" fontId="0" fillId="10" borderId="1" xfId="0" applyFill="1" applyBorder="1" applyAlignment="1">
      <alignment horizontal="center" vertical="center" wrapText="1"/>
    </xf>
    <xf numFmtId="0" fontId="0" fillId="2" borderId="1" xfId="0" applyFill="1" applyBorder="1" applyAlignment="1">
      <alignment horizontal="center" vertical="center" wrapText="1"/>
    </xf>
    <xf numFmtId="177" fontId="0" fillId="0" borderId="1" xfId="0" applyNumberFormat="1" applyBorder="1">
      <alignment vertical="center"/>
    </xf>
    <xf numFmtId="0" fontId="7" fillId="10" borderId="1" xfId="0" applyFont="1" applyFill="1" applyBorder="1">
      <alignment vertical="center"/>
    </xf>
    <xf numFmtId="0" fontId="0" fillId="2" borderId="13" xfId="0" applyFill="1" applyBorder="1" applyAlignment="1">
      <alignment horizontal="center" vertical="center"/>
    </xf>
    <xf numFmtId="0" fontId="0" fillId="3" borderId="3" xfId="0" applyFill="1" applyBorder="1">
      <alignment vertical="center"/>
    </xf>
    <xf numFmtId="2" fontId="7" fillId="0" borderId="1" xfId="0" applyNumberFormat="1" applyFont="1" applyBorder="1">
      <alignment vertical="center"/>
    </xf>
    <xf numFmtId="2" fontId="0" fillId="0" borderId="0" xfId="0" applyNumberFormat="1">
      <alignment vertical="center"/>
    </xf>
    <xf numFmtId="0" fontId="0" fillId="2" borderId="2" xfId="0" applyFill="1" applyBorder="1" applyAlignment="1">
      <alignment horizontal="center" vertical="center"/>
    </xf>
    <xf numFmtId="0" fontId="0" fillId="10" borderId="2" xfId="0" applyFill="1" applyBorder="1" applyAlignment="1">
      <alignment horizontal="center" vertical="center"/>
    </xf>
    <xf numFmtId="2" fontId="0" fillId="0" borderId="7" xfId="0" applyNumberFormat="1" applyBorder="1">
      <alignment vertical="center"/>
    </xf>
    <xf numFmtId="2" fontId="7" fillId="12" borderId="4" xfId="0" applyNumberFormat="1" applyFont="1" applyFill="1" applyBorder="1">
      <alignment vertical="center"/>
    </xf>
    <xf numFmtId="0" fontId="0" fillId="0" borderId="17" xfId="0" applyBorder="1">
      <alignment vertical="center"/>
    </xf>
    <xf numFmtId="2" fontId="0" fillId="0" borderId="6" xfId="0" applyNumberFormat="1" applyBorder="1">
      <alignment vertical="center"/>
    </xf>
    <xf numFmtId="0" fontId="3" fillId="3" borderId="1" xfId="0" applyFont="1" applyFill="1" applyBorder="1">
      <alignment vertical="center"/>
    </xf>
    <xf numFmtId="0" fontId="3" fillId="10" borderId="1" xfId="0" applyFont="1" applyFill="1" applyBorder="1" applyAlignment="1">
      <alignment horizontal="center" vertical="center" wrapText="1"/>
    </xf>
    <xf numFmtId="0" fontId="3" fillId="3" borderId="1" xfId="0" applyFont="1" applyFill="1" applyBorder="1" applyAlignment="1">
      <alignment vertical="center" shrinkToFit="1"/>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1" xfId="0" applyBorder="1" applyAlignment="1">
      <alignment horizontal="center" vertical="center"/>
    </xf>
    <xf numFmtId="0" fontId="7" fillId="0" borderId="5" xfId="0" applyFont="1" applyBorder="1">
      <alignment vertical="center"/>
    </xf>
    <xf numFmtId="0" fontId="7" fillId="0" borderId="19" xfId="0" applyFont="1" applyBorder="1">
      <alignment vertical="center"/>
    </xf>
    <xf numFmtId="2" fontId="7" fillId="0" borderId="19" xfId="0" applyNumberFormat="1" applyFont="1" applyBorder="1">
      <alignment vertical="center"/>
    </xf>
    <xf numFmtId="0" fontId="14" fillId="0" borderId="18" xfId="0" applyFont="1" applyBorder="1" applyAlignment="1">
      <alignment horizontal="center" vertical="center"/>
    </xf>
    <xf numFmtId="0" fontId="14" fillId="0" borderId="1" xfId="0" applyFont="1" applyBorder="1">
      <alignment vertical="center"/>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0" fillId="3" borderId="4" xfId="0" applyFill="1" applyBorder="1">
      <alignment vertical="center"/>
    </xf>
    <xf numFmtId="0" fontId="0" fillId="3" borderId="6" xfId="0" applyFill="1" applyBorder="1">
      <alignment vertical="center"/>
    </xf>
    <xf numFmtId="0" fontId="15" fillId="0" borderId="18" xfId="0" applyFont="1" applyBorder="1" applyAlignment="1">
      <alignment horizontal="center" vertical="center"/>
    </xf>
    <xf numFmtId="0" fontId="15" fillId="0" borderId="0" xfId="0" applyFont="1" applyAlignment="1">
      <alignment horizontal="center" vertical="center"/>
    </xf>
    <xf numFmtId="0" fontId="15" fillId="0" borderId="1" xfId="0" applyFont="1" applyBorder="1" applyAlignment="1">
      <alignment horizontal="center" vertical="center"/>
    </xf>
    <xf numFmtId="0" fontId="15" fillId="0" borderId="6" xfId="0" applyFont="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lignment vertical="center"/>
    </xf>
    <xf numFmtId="0" fontId="3" fillId="2" borderId="3" xfId="0" applyFont="1" applyFill="1" applyBorder="1">
      <alignment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5" fillId="10" borderId="6" xfId="0" applyFont="1" applyFill="1" applyBorder="1" applyAlignment="1">
      <alignment horizontal="center" vertical="center"/>
    </xf>
    <xf numFmtId="0" fontId="0" fillId="3" borderId="14" xfId="0" applyFill="1" applyBorder="1">
      <alignment vertical="center"/>
    </xf>
    <xf numFmtId="0" fontId="0" fillId="3" borderId="10" xfId="0" applyFill="1" applyBorder="1">
      <alignment vertical="center"/>
    </xf>
    <xf numFmtId="0" fontId="0" fillId="3" borderId="15" xfId="0" applyFill="1" applyBorder="1">
      <alignment vertical="center"/>
    </xf>
    <xf numFmtId="0" fontId="14" fillId="0" borderId="0" xfId="0" applyFont="1" applyAlignment="1">
      <alignment horizontal="center" vertical="center"/>
    </xf>
    <xf numFmtId="0" fontId="0" fillId="0" borderId="2" xfId="0" applyBorder="1">
      <alignment vertical="center"/>
    </xf>
    <xf numFmtId="2" fontId="0" fillId="0" borderId="2" xfId="0" applyNumberFormat="1" applyBorder="1">
      <alignment vertical="center"/>
    </xf>
    <xf numFmtId="2" fontId="15" fillId="0" borderId="1" xfId="0" applyNumberFormat="1" applyFont="1" applyBorder="1" applyAlignment="1">
      <alignment horizontal="center" vertical="center"/>
    </xf>
    <xf numFmtId="0" fontId="3" fillId="3" borderId="0" xfId="0" applyFont="1" applyFill="1">
      <alignment vertical="center"/>
    </xf>
    <xf numFmtId="0" fontId="16" fillId="0" borderId="1" xfId="0" applyFont="1" applyBorder="1" applyAlignment="1">
      <alignment horizontal="center" vertical="center"/>
    </xf>
    <xf numFmtId="177" fontId="3" fillId="0" borderId="1" xfId="0" applyNumberFormat="1" applyFont="1" applyBorder="1">
      <alignment vertical="center"/>
    </xf>
    <xf numFmtId="0" fontId="3" fillId="3" borderId="5" xfId="0" applyFont="1" applyFill="1" applyBorder="1">
      <alignment vertical="center"/>
    </xf>
    <xf numFmtId="2" fontId="16" fillId="0" borderId="1" xfId="0" applyNumberFormat="1" applyFont="1" applyBorder="1" applyAlignment="1">
      <alignment horizontal="center" vertical="center"/>
    </xf>
    <xf numFmtId="2" fontId="3" fillId="0" borderId="1" xfId="0" applyNumberFormat="1" applyFont="1" applyBorder="1">
      <alignment vertical="center"/>
    </xf>
    <xf numFmtId="0" fontId="15" fillId="10" borderId="5" xfId="0" applyFont="1" applyFill="1" applyBorder="1" applyAlignment="1">
      <alignment horizontal="center" vertical="center"/>
    </xf>
    <xf numFmtId="0" fontId="0" fillId="10" borderId="5" xfId="0" applyFill="1" applyBorder="1">
      <alignment vertical="center"/>
    </xf>
    <xf numFmtId="0" fontId="3" fillId="3" borderId="2" xfId="0" applyFont="1" applyFill="1" applyBorder="1">
      <alignment vertical="center"/>
    </xf>
    <xf numFmtId="0" fontId="3" fillId="3" borderId="4" xfId="0" applyFont="1" applyFill="1" applyBorder="1">
      <alignment vertical="center"/>
    </xf>
    <xf numFmtId="2" fontId="3" fillId="0" borderId="4" xfId="0" applyNumberFormat="1" applyFont="1" applyBorder="1">
      <alignment vertical="center"/>
    </xf>
    <xf numFmtId="0" fontId="7" fillId="10" borderId="2" xfId="0" applyFont="1" applyFill="1" applyBorder="1" applyAlignment="1">
      <alignment vertical="center" wrapText="1"/>
    </xf>
    <xf numFmtId="0" fontId="3" fillId="10" borderId="3" xfId="0" applyFont="1" applyFill="1" applyBorder="1" applyAlignment="1">
      <alignment vertical="center" wrapText="1"/>
    </xf>
    <xf numFmtId="0" fontId="16" fillId="0" borderId="0" xfId="0" applyFont="1" applyAlignment="1">
      <alignment horizontal="center" vertical="center"/>
    </xf>
    <xf numFmtId="0" fontId="16" fillId="0" borderId="18" xfId="0" applyFont="1" applyBorder="1" applyAlignment="1">
      <alignment horizontal="center" vertical="center"/>
    </xf>
    <xf numFmtId="0" fontId="7" fillId="0" borderId="2" xfId="0" applyFont="1" applyBorder="1">
      <alignment vertical="center"/>
    </xf>
    <xf numFmtId="0" fontId="7" fillId="16" borderId="1" xfId="0" applyFont="1" applyFill="1" applyBorder="1">
      <alignment vertical="center"/>
    </xf>
    <xf numFmtId="0" fontId="0" fillId="16" borderId="1" xfId="0" applyFill="1" applyBorder="1">
      <alignment vertical="center"/>
    </xf>
    <xf numFmtId="2" fontId="15" fillId="0" borderId="2" xfId="0" applyNumberFormat="1" applyFont="1" applyBorder="1" applyAlignment="1">
      <alignment horizontal="center" vertical="center"/>
    </xf>
    <xf numFmtId="0" fontId="14" fillId="0" borderId="1" xfId="0" applyFont="1" applyBorder="1" applyAlignment="1">
      <alignment horizontal="center" vertical="center"/>
    </xf>
    <xf numFmtId="178" fontId="16" fillId="0" borderId="1" xfId="0" applyNumberFormat="1" applyFont="1" applyBorder="1" applyAlignment="1">
      <alignment horizontal="center" vertical="center"/>
    </xf>
    <xf numFmtId="0" fontId="16" fillId="0" borderId="4" xfId="0" applyFont="1" applyBorder="1" applyAlignment="1">
      <alignment horizontal="center" vertical="center"/>
    </xf>
    <xf numFmtId="177" fontId="15" fillId="0" borderId="1" xfId="0" applyNumberFormat="1" applyFont="1" applyBorder="1" applyAlignment="1">
      <alignment horizontal="center" vertical="center"/>
    </xf>
    <xf numFmtId="2" fontId="16" fillId="0" borderId="4" xfId="0" applyNumberFormat="1" applyFont="1" applyBorder="1" applyAlignment="1">
      <alignment horizontal="center" vertical="center"/>
    </xf>
    <xf numFmtId="177" fontId="3" fillId="0" borderId="4" xfId="0" applyNumberFormat="1" applyFont="1" applyBorder="1">
      <alignment vertical="center"/>
    </xf>
    <xf numFmtId="177" fontId="7" fillId="0" borderId="4" xfId="0" applyNumberFormat="1" applyFont="1" applyBorder="1">
      <alignment vertical="center"/>
    </xf>
    <xf numFmtId="0" fontId="3" fillId="0" borderId="4" xfId="0" applyFont="1" applyBorder="1">
      <alignment vertical="center"/>
    </xf>
    <xf numFmtId="0" fontId="3" fillId="3" borderId="3" xfId="0" applyFont="1" applyFill="1" applyBorder="1">
      <alignment vertical="center"/>
    </xf>
    <xf numFmtId="0" fontId="0" fillId="10" borderId="2" xfId="0" applyFill="1" applyBorder="1">
      <alignment vertical="center"/>
    </xf>
    <xf numFmtId="0" fontId="0" fillId="10" borderId="3" xfId="0" applyFill="1" applyBorder="1">
      <alignment vertical="center"/>
    </xf>
    <xf numFmtId="0" fontId="0" fillId="0" borderId="0" xfId="0" applyAlignment="1">
      <alignment horizontal="left" vertical="top"/>
    </xf>
    <xf numFmtId="0" fontId="3" fillId="2" borderId="13" xfId="0" applyFont="1" applyFill="1" applyBorder="1" applyAlignment="1">
      <alignment horizontal="center" vertical="center"/>
    </xf>
    <xf numFmtId="2" fontId="0" fillId="16" borderId="1" xfId="0" applyNumberFormat="1" applyFill="1" applyBorder="1">
      <alignment vertical="center"/>
    </xf>
    <xf numFmtId="179" fontId="16" fillId="0" borderId="1" xfId="0" applyNumberFormat="1" applyFont="1" applyBorder="1" applyAlignment="1">
      <alignment horizontal="center" vertical="center"/>
    </xf>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3" fillId="10" borderId="13" xfId="0" applyFont="1" applyFill="1" applyBorder="1">
      <alignment vertical="center"/>
    </xf>
    <xf numFmtId="0" fontId="0" fillId="10" borderId="14" xfId="0" applyFill="1" applyBorder="1">
      <alignment vertical="center"/>
    </xf>
    <xf numFmtId="0" fontId="0" fillId="3" borderId="20" xfId="0" applyFill="1" applyBorder="1">
      <alignment vertical="center"/>
    </xf>
    <xf numFmtId="0" fontId="0" fillId="3" borderId="21" xfId="0" applyFill="1" applyBorder="1">
      <alignment vertical="center"/>
    </xf>
    <xf numFmtId="0" fontId="0" fillId="3" borderId="22" xfId="0" applyFill="1" applyBorder="1">
      <alignment vertical="center"/>
    </xf>
    <xf numFmtId="0" fontId="0" fillId="3" borderId="23" xfId="0" applyFill="1" applyBorder="1">
      <alignment vertical="center"/>
    </xf>
    <xf numFmtId="0" fontId="0" fillId="3" borderId="24" xfId="0" applyFill="1" applyBorder="1">
      <alignment vertical="center"/>
    </xf>
    <xf numFmtId="0" fontId="3" fillId="3" borderId="23" xfId="0" applyFont="1" applyFill="1" applyBorder="1">
      <alignment vertical="center"/>
    </xf>
    <xf numFmtId="0" fontId="0" fillId="3" borderId="25" xfId="0" applyFill="1" applyBorder="1">
      <alignment vertical="center"/>
    </xf>
    <xf numFmtId="0" fontId="3" fillId="3" borderId="26" xfId="0" applyFont="1" applyFill="1" applyBorder="1">
      <alignment vertical="center"/>
    </xf>
    <xf numFmtId="0" fontId="3" fillId="3" borderId="27" xfId="0" applyFont="1" applyFill="1" applyBorder="1">
      <alignment vertical="center"/>
    </xf>
    <xf numFmtId="0" fontId="0" fillId="2" borderId="14" xfId="0" applyFill="1" applyBorder="1" applyAlignment="1">
      <alignment horizontal="center" vertical="center"/>
    </xf>
    <xf numFmtId="0" fontId="0" fillId="3" borderId="28" xfId="0" applyFill="1" applyBorder="1" applyAlignment="1">
      <alignment vertical="center" wrapText="1"/>
    </xf>
    <xf numFmtId="0" fontId="0" fillId="3" borderId="29" xfId="0" applyFill="1" applyBorder="1" applyAlignment="1">
      <alignment vertical="center" wrapText="1"/>
    </xf>
    <xf numFmtId="0" fontId="0" fillId="3" borderId="30" xfId="0" applyFill="1" applyBorder="1" applyAlignment="1">
      <alignment vertical="center" wrapText="1"/>
    </xf>
    <xf numFmtId="0" fontId="3" fillId="3" borderId="31" xfId="0" applyFont="1" applyFill="1" applyBorder="1">
      <alignment vertical="center"/>
    </xf>
    <xf numFmtId="0" fontId="3" fillId="3" borderId="32" xfId="0" applyFont="1" applyFill="1" applyBorder="1">
      <alignment vertical="center"/>
    </xf>
    <xf numFmtId="0" fontId="0" fillId="0" borderId="11" xfId="0" applyBorder="1" applyAlignment="1">
      <alignment horizontal="center" vertical="center"/>
    </xf>
    <xf numFmtId="0" fontId="15" fillId="0" borderId="10" xfId="0" applyFont="1" applyBorder="1" applyAlignment="1">
      <alignment horizontal="center" vertical="center"/>
    </xf>
    <xf numFmtId="2" fontId="15" fillId="0" borderId="10" xfId="0" applyNumberFormat="1" applyFont="1" applyBorder="1" applyAlignment="1">
      <alignment horizontal="center" vertical="center"/>
    </xf>
    <xf numFmtId="0" fontId="0" fillId="18" borderId="1" xfId="0" applyFill="1" applyBorder="1">
      <alignment vertical="center"/>
    </xf>
    <xf numFmtId="2" fontId="3" fillId="18" borderId="1" xfId="0" applyNumberFormat="1" applyFont="1" applyFill="1" applyBorder="1">
      <alignment vertical="center"/>
    </xf>
    <xf numFmtId="2" fontId="3" fillId="12" borderId="1" xfId="0" applyNumberFormat="1" applyFont="1" applyFill="1" applyBorder="1">
      <alignment vertical="center"/>
    </xf>
    <xf numFmtId="0" fontId="7" fillId="10" borderId="8" xfId="0" applyFont="1" applyFill="1" applyBorder="1">
      <alignment vertical="center"/>
    </xf>
    <xf numFmtId="0" fontId="0" fillId="10" borderId="0" xfId="0" applyFill="1" applyAlignment="1">
      <alignment horizontal="center" vertical="center"/>
    </xf>
    <xf numFmtId="0" fontId="18" fillId="0" borderId="1" xfId="0" applyFont="1" applyBorder="1" applyAlignment="1">
      <alignment horizontal="center" vertical="center"/>
    </xf>
    <xf numFmtId="2" fontId="8" fillId="0" borderId="1" xfId="0" applyNumberFormat="1" applyFont="1" applyBorder="1">
      <alignment vertical="center"/>
    </xf>
    <xf numFmtId="0" fontId="0" fillId="3" borderId="16" xfId="0" applyFill="1" applyBorder="1">
      <alignment vertical="center"/>
    </xf>
    <xf numFmtId="0" fontId="0" fillId="0" borderId="5" xfId="0" applyBorder="1">
      <alignment vertical="center"/>
    </xf>
    <xf numFmtId="176" fontId="0" fillId="0" borderId="4" xfId="0" applyNumberFormat="1" applyBorder="1">
      <alignment vertical="center"/>
    </xf>
    <xf numFmtId="0" fontId="15" fillId="0" borderId="5" xfId="0" applyFont="1" applyBorder="1" applyAlignment="1">
      <alignment horizontal="center" vertical="center"/>
    </xf>
    <xf numFmtId="0" fontId="16" fillId="0" borderId="12" xfId="0" applyFont="1" applyBorder="1" applyAlignment="1">
      <alignment horizontal="center" vertical="center"/>
    </xf>
    <xf numFmtId="2" fontId="0" fillId="0" borderId="12" xfId="0" applyNumberFormat="1" applyBorder="1">
      <alignment vertical="center"/>
    </xf>
    <xf numFmtId="2" fontId="3" fillId="0" borderId="6" xfId="0" applyNumberFormat="1" applyFont="1" applyBorder="1">
      <alignment vertical="center"/>
    </xf>
    <xf numFmtId="180" fontId="0" fillId="0" borderId="0" xfId="0" applyNumberFormat="1">
      <alignment vertical="center"/>
    </xf>
    <xf numFmtId="0" fontId="0" fillId="10" borderId="4" xfId="0" applyFill="1" applyBorder="1" applyAlignment="1">
      <alignment horizontal="center" vertical="center"/>
    </xf>
    <xf numFmtId="0" fontId="0" fillId="17" borderId="1" xfId="0" applyFill="1" applyBorder="1">
      <alignment vertical="center"/>
    </xf>
    <xf numFmtId="0" fontId="15" fillId="0" borderId="4" xfId="0" applyFont="1" applyBorder="1" applyAlignment="1">
      <alignment horizontal="center" vertical="center"/>
    </xf>
    <xf numFmtId="181" fontId="3" fillId="0" borderId="1" xfId="0" applyNumberFormat="1" applyFont="1" applyBorder="1">
      <alignment vertical="center"/>
    </xf>
    <xf numFmtId="181" fontId="0" fillId="0" borderId="1" xfId="0" applyNumberFormat="1" applyBorder="1">
      <alignment vertical="center"/>
    </xf>
    <xf numFmtId="181" fontId="8" fillId="0" borderId="1" xfId="0" applyNumberFormat="1" applyFont="1" applyBorder="1">
      <alignment vertical="center"/>
    </xf>
    <xf numFmtId="0" fontId="14" fillId="0" borderId="0" xfId="0" applyFont="1">
      <alignment vertical="center"/>
    </xf>
    <xf numFmtId="0" fontId="14" fillId="0" borderId="0" xfId="0" applyFont="1" applyAlignment="1">
      <alignment vertical="center" wrapText="1"/>
    </xf>
    <xf numFmtId="179" fontId="7" fillId="0" borderId="1" xfId="0" applyNumberFormat="1" applyFont="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10" borderId="1" xfId="0" applyFill="1" applyBorder="1" applyAlignment="1">
      <alignment horizontal="center" vertical="center"/>
    </xf>
    <xf numFmtId="0" fontId="0" fillId="10" borderId="2" xfId="0" applyFill="1" applyBorder="1" applyAlignment="1">
      <alignment horizontal="center" vertical="center" wrapText="1"/>
    </xf>
    <xf numFmtId="0" fontId="0" fillId="10" borderId="3" xfId="0" applyFill="1" applyBorder="1" applyAlignment="1">
      <alignment horizontal="center" vertical="center"/>
    </xf>
    <xf numFmtId="0" fontId="0" fillId="10" borderId="2" xfId="0" applyFill="1" applyBorder="1" applyAlignment="1">
      <alignment horizontal="center" vertical="center"/>
    </xf>
    <xf numFmtId="0" fontId="0" fillId="10" borderId="8" xfId="0" applyFill="1" applyBorder="1" applyAlignment="1">
      <alignment horizontal="center" vertical="center"/>
    </xf>
    <xf numFmtId="0" fontId="7" fillId="10" borderId="1" xfId="0" applyFont="1" applyFill="1" applyBorder="1" applyAlignment="1">
      <alignment horizontal="center" vertical="center"/>
    </xf>
    <xf numFmtId="0" fontId="0" fillId="10" borderId="3" xfId="0" applyFill="1" applyBorder="1" applyAlignment="1">
      <alignment horizontal="center" vertical="center"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xf>
    <xf numFmtId="0" fontId="7" fillId="10" borderId="2" xfId="0" applyFont="1" applyFill="1" applyBorder="1" applyAlignment="1">
      <alignment horizontal="center" vertical="center"/>
    </xf>
    <xf numFmtId="0" fontId="7" fillId="10" borderId="3"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9" fillId="10" borderId="1" xfId="0" applyFont="1" applyFill="1" applyBorder="1" applyAlignment="1">
      <alignment horizontal="center" vertical="center"/>
    </xf>
    <xf numFmtId="0" fontId="15" fillId="0" borderId="1" xfId="0" applyFont="1" applyBorder="1" applyAlignment="1">
      <alignment vertical="center"/>
    </xf>
    <xf numFmtId="2" fontId="0" fillId="0" borderId="4" xfId="0" applyNumberFormat="1" applyBorder="1" applyAlignment="1">
      <alignment vertical="center"/>
    </xf>
    <xf numFmtId="0" fontId="16" fillId="0" borderId="1" xfId="0" applyFont="1" applyBorder="1" applyAlignment="1">
      <alignment vertical="center"/>
    </xf>
    <xf numFmtId="2" fontId="0" fillId="0" borderId="1" xfId="0" applyNumberFormat="1" applyBorder="1" applyAlignment="1">
      <alignment vertical="center"/>
    </xf>
    <xf numFmtId="177" fontId="0" fillId="0" borderId="4" xfId="0" applyNumberFormat="1" applyBorder="1" applyAlignment="1">
      <alignment vertical="center"/>
    </xf>
    <xf numFmtId="2" fontId="7" fillId="0" borderId="4" xfId="0" applyNumberFormat="1" applyFont="1" applyBorder="1" applyAlignment="1">
      <alignment vertical="center"/>
    </xf>
    <xf numFmtId="2" fontId="7" fillId="0" borderId="1" xfId="0" applyNumberFormat="1" applyFont="1" applyBorder="1" applyAlignment="1">
      <alignment vertical="center"/>
    </xf>
    <xf numFmtId="0" fontId="7" fillId="0" borderId="1" xfId="0" applyFont="1" applyBorder="1" applyAlignment="1">
      <alignment vertical="center"/>
    </xf>
    <xf numFmtId="2" fontId="3" fillId="0" borderId="1" xfId="0" applyNumberFormat="1" applyFont="1" applyBorder="1" applyAlignment="1">
      <alignment vertical="center"/>
    </xf>
    <xf numFmtId="2" fontId="3" fillId="11" borderId="4" xfId="0" applyNumberFormat="1" applyFont="1" applyFill="1" applyBorder="1" applyAlignment="1">
      <alignment vertical="center"/>
    </xf>
    <xf numFmtId="2" fontId="15" fillId="0" borderId="1" xfId="0" applyNumberFormat="1" applyFont="1" applyBorder="1" applyAlignment="1">
      <alignment vertical="center"/>
    </xf>
    <xf numFmtId="0" fontId="0" fillId="0" borderId="0" xfId="0" applyNumberFormat="1">
      <alignment vertical="center"/>
    </xf>
    <xf numFmtId="179" fontId="0" fillId="0" borderId="0" xfId="0" applyNumberFormat="1">
      <alignment vertical="center"/>
    </xf>
  </cellXfs>
  <cellStyles count="2">
    <cellStyle name="ハイパーリンク" xfId="1" builtinId="8"/>
    <cellStyle name="標準" xfId="0" builtinId="0"/>
  </cellStyles>
  <dxfs count="9">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1512743</xdr:colOff>
      <xdr:row>70</xdr:row>
      <xdr:rowOff>149802</xdr:rowOff>
    </xdr:from>
    <xdr:to>
      <xdr:col>15</xdr:col>
      <xdr:colOff>674543</xdr:colOff>
      <xdr:row>73</xdr:row>
      <xdr:rowOff>178377</xdr:rowOff>
    </xdr:to>
    <xdr:sp macro="" textlink="">
      <xdr:nvSpPr>
        <xdr:cNvPr id="2" name="矢印: 下 1">
          <a:extLst>
            <a:ext uri="{FF2B5EF4-FFF2-40B4-BE49-F238E27FC236}">
              <a16:creationId xmlns:a16="http://schemas.microsoft.com/office/drawing/2014/main" id="{2CF70DD8-C06D-D3E3-E1C6-91FCE85ABAC8}"/>
            </a:ext>
          </a:extLst>
        </xdr:cNvPr>
        <xdr:cNvSpPr/>
      </xdr:nvSpPr>
      <xdr:spPr>
        <a:xfrm>
          <a:off x="18449925" y="15476393"/>
          <a:ext cx="1032163" cy="755939"/>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852055</xdr:colOff>
      <xdr:row>71</xdr:row>
      <xdr:rowOff>63212</xdr:rowOff>
    </xdr:from>
    <xdr:to>
      <xdr:col>20</xdr:col>
      <xdr:colOff>1541318</xdr:colOff>
      <xdr:row>73</xdr:row>
      <xdr:rowOff>63211</xdr:rowOff>
    </xdr:to>
    <xdr:sp macro="" textlink="">
      <xdr:nvSpPr>
        <xdr:cNvPr id="3" name="テキスト ボックス 2">
          <a:extLst>
            <a:ext uri="{FF2B5EF4-FFF2-40B4-BE49-F238E27FC236}">
              <a16:creationId xmlns:a16="http://schemas.microsoft.com/office/drawing/2014/main" id="{28BE4F1D-305B-604A-03F9-9944916C9D0D}"/>
            </a:ext>
          </a:extLst>
        </xdr:cNvPr>
        <xdr:cNvSpPr txBox="1"/>
      </xdr:nvSpPr>
      <xdr:spPr>
        <a:xfrm>
          <a:off x="19659600" y="15632257"/>
          <a:ext cx="7148945" cy="4849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外気・土壌に接する外皮の面積のうち </a:t>
          </a:r>
          <a:r>
            <a:rPr kumimoji="1" lang="en-US" altLang="ja-JP" sz="1400"/>
            <a:t>r_env_op </a:t>
          </a:r>
          <a:r>
            <a:rPr kumimoji="1" lang="ja-JP" altLang="en-US" sz="1400"/>
            <a:t>を窓・ドアに割り当てる</a:t>
          </a:r>
        </a:p>
      </xdr:txBody>
    </xdr:sp>
    <xdr:clientData/>
  </xdr:twoCellAnchor>
  <xdr:twoCellAnchor>
    <xdr:from>
      <xdr:col>14</xdr:col>
      <xdr:colOff>1604282</xdr:colOff>
      <xdr:row>42</xdr:row>
      <xdr:rowOff>209179</xdr:rowOff>
    </xdr:from>
    <xdr:to>
      <xdr:col>15</xdr:col>
      <xdr:colOff>766082</xdr:colOff>
      <xdr:row>45</xdr:row>
      <xdr:rowOff>237754</xdr:rowOff>
    </xdr:to>
    <xdr:sp macro="" textlink="">
      <xdr:nvSpPr>
        <xdr:cNvPr id="4" name="矢印: 下 3">
          <a:extLst>
            <a:ext uri="{FF2B5EF4-FFF2-40B4-BE49-F238E27FC236}">
              <a16:creationId xmlns:a16="http://schemas.microsoft.com/office/drawing/2014/main" id="{86058BA1-6C80-42BE-B61D-CA62D7AE4F1B}"/>
            </a:ext>
          </a:extLst>
        </xdr:cNvPr>
        <xdr:cNvSpPr/>
      </xdr:nvSpPr>
      <xdr:spPr>
        <a:xfrm>
          <a:off x="18504353" y="10346500"/>
          <a:ext cx="1039586" cy="76336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943594</xdr:colOff>
      <xdr:row>42</xdr:row>
      <xdr:rowOff>190625</xdr:rowOff>
    </xdr:from>
    <xdr:to>
      <xdr:col>20</xdr:col>
      <xdr:colOff>1632857</xdr:colOff>
      <xdr:row>46</xdr:row>
      <xdr:rowOff>0</xdr:rowOff>
    </xdr:to>
    <xdr:sp macro="" textlink="">
      <xdr:nvSpPr>
        <xdr:cNvPr id="5" name="テキスト ボックス 4">
          <a:extLst>
            <a:ext uri="{FF2B5EF4-FFF2-40B4-BE49-F238E27FC236}">
              <a16:creationId xmlns:a16="http://schemas.microsoft.com/office/drawing/2014/main" id="{EB5820E4-F564-4748-BA7A-B782457BAFFA}"/>
            </a:ext>
          </a:extLst>
        </xdr:cNvPr>
        <xdr:cNvSpPr txBox="1"/>
      </xdr:nvSpPr>
      <xdr:spPr>
        <a:xfrm>
          <a:off x="19721451" y="10327946"/>
          <a:ext cx="7152656" cy="7890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外皮面積を外気・土壌に接する部分とそれ以外に分ける。</a:t>
          </a:r>
          <a:endParaRPr kumimoji="1" lang="en-US" altLang="ja-JP" sz="1400"/>
        </a:p>
        <a:p>
          <a:r>
            <a:rPr kumimoji="1" lang="ja-JP" altLang="en-US" sz="1400"/>
            <a:t>外気・土壌に接する部分の面積は総外皮面積の </a:t>
          </a:r>
          <a:r>
            <a:rPr kumimoji="1" lang="en-US" altLang="ja-JP" sz="1400"/>
            <a:t>r_env </a:t>
          </a:r>
          <a:r>
            <a:rPr kumimoji="1" lang="ja-JP" altLang="en-US" sz="1400"/>
            <a:t>である。</a:t>
          </a:r>
        </a:p>
      </xdr:txBody>
    </xdr:sp>
    <xdr:clientData/>
  </xdr:twoCellAnchor>
  <xdr:twoCellAnchor editAs="oneCell">
    <xdr:from>
      <xdr:col>26</xdr:col>
      <xdr:colOff>851646</xdr:colOff>
      <xdr:row>87</xdr:row>
      <xdr:rowOff>22410</xdr:rowOff>
    </xdr:from>
    <xdr:to>
      <xdr:col>32</xdr:col>
      <xdr:colOff>303101</xdr:colOff>
      <xdr:row>103</xdr:row>
      <xdr:rowOff>14380</xdr:rowOff>
    </xdr:to>
    <xdr:pic>
      <xdr:nvPicPr>
        <xdr:cNvPr id="12" name="図 11">
          <a:extLst>
            <a:ext uri="{FF2B5EF4-FFF2-40B4-BE49-F238E27FC236}">
              <a16:creationId xmlns:a16="http://schemas.microsoft.com/office/drawing/2014/main" id="{B9D9E43D-4B81-E487-B959-E9F419BD19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701940" y="20428322"/>
          <a:ext cx="4336845" cy="3753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1509032</xdr:colOff>
      <xdr:row>95</xdr:row>
      <xdr:rowOff>32285</xdr:rowOff>
    </xdr:from>
    <xdr:to>
      <xdr:col>15</xdr:col>
      <xdr:colOff>670832</xdr:colOff>
      <xdr:row>98</xdr:row>
      <xdr:rowOff>60861</xdr:rowOff>
    </xdr:to>
    <xdr:sp macro="" textlink="">
      <xdr:nvSpPr>
        <xdr:cNvPr id="13" name="矢印: 下 12">
          <a:extLst>
            <a:ext uri="{FF2B5EF4-FFF2-40B4-BE49-F238E27FC236}">
              <a16:creationId xmlns:a16="http://schemas.microsoft.com/office/drawing/2014/main" id="{9E4FD210-6AEB-48FD-A00D-91534DE1FAD6}"/>
            </a:ext>
          </a:extLst>
        </xdr:cNvPr>
        <xdr:cNvSpPr/>
      </xdr:nvSpPr>
      <xdr:spPr>
        <a:xfrm>
          <a:off x="18041711" y="23150821"/>
          <a:ext cx="1039585" cy="76336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963386</xdr:colOff>
      <xdr:row>95</xdr:row>
      <xdr:rowOff>106507</xdr:rowOff>
    </xdr:from>
    <xdr:to>
      <xdr:col>20</xdr:col>
      <xdr:colOff>1652649</xdr:colOff>
      <xdr:row>97</xdr:row>
      <xdr:rowOff>106506</xdr:rowOff>
    </xdr:to>
    <xdr:sp macro="" textlink="">
      <xdr:nvSpPr>
        <xdr:cNvPr id="14" name="テキスト ボックス 13">
          <a:extLst>
            <a:ext uri="{FF2B5EF4-FFF2-40B4-BE49-F238E27FC236}">
              <a16:creationId xmlns:a16="http://schemas.microsoft.com/office/drawing/2014/main" id="{5305553E-7DAC-4050-AD4D-BB47A6236F5A}"/>
            </a:ext>
          </a:extLst>
        </xdr:cNvPr>
        <xdr:cNvSpPr txBox="1"/>
      </xdr:nvSpPr>
      <xdr:spPr>
        <a:xfrm>
          <a:off x="19373850" y="23225043"/>
          <a:ext cx="7261513" cy="489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各部位の断熱性能を推定する</a:t>
          </a:r>
        </a:p>
      </xdr:txBody>
    </xdr:sp>
    <xdr:clientData/>
  </xdr:twoCellAnchor>
  <xdr:twoCellAnchor>
    <xdr:from>
      <xdr:col>14</xdr:col>
      <xdr:colOff>1389289</xdr:colOff>
      <xdr:row>116</xdr:row>
      <xdr:rowOff>157470</xdr:rowOff>
    </xdr:from>
    <xdr:to>
      <xdr:col>15</xdr:col>
      <xdr:colOff>551089</xdr:colOff>
      <xdr:row>119</xdr:row>
      <xdr:rowOff>186045</xdr:rowOff>
    </xdr:to>
    <xdr:sp macro="" textlink="">
      <xdr:nvSpPr>
        <xdr:cNvPr id="15" name="矢印: 下 14">
          <a:extLst>
            <a:ext uri="{FF2B5EF4-FFF2-40B4-BE49-F238E27FC236}">
              <a16:creationId xmlns:a16="http://schemas.microsoft.com/office/drawing/2014/main" id="{8063DB57-99AB-431A-9CA9-D558E7B201CE}"/>
            </a:ext>
          </a:extLst>
        </xdr:cNvPr>
        <xdr:cNvSpPr/>
      </xdr:nvSpPr>
      <xdr:spPr>
        <a:xfrm>
          <a:off x="17921968" y="28637220"/>
          <a:ext cx="1039585" cy="76336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816429</xdr:colOff>
      <xdr:row>117</xdr:row>
      <xdr:rowOff>54800</xdr:rowOff>
    </xdr:from>
    <xdr:to>
      <xdr:col>20</xdr:col>
      <xdr:colOff>1505692</xdr:colOff>
      <xdr:row>119</xdr:row>
      <xdr:rowOff>54799</xdr:rowOff>
    </xdr:to>
    <xdr:sp macro="" textlink="">
      <xdr:nvSpPr>
        <xdr:cNvPr id="16" name="テキスト ボックス 15">
          <a:extLst>
            <a:ext uri="{FF2B5EF4-FFF2-40B4-BE49-F238E27FC236}">
              <a16:creationId xmlns:a16="http://schemas.microsoft.com/office/drawing/2014/main" id="{BBE5C26A-06EB-4F0C-8550-AB9C7BB83119}"/>
            </a:ext>
          </a:extLst>
        </xdr:cNvPr>
        <xdr:cNvSpPr txBox="1"/>
      </xdr:nvSpPr>
      <xdr:spPr>
        <a:xfrm>
          <a:off x="19226893" y="29514264"/>
          <a:ext cx="7261513" cy="489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不透明部位の日射熱取得量を計算する</a:t>
          </a:r>
        </a:p>
      </xdr:txBody>
    </xdr:sp>
    <xdr:clientData/>
  </xdr:twoCellAnchor>
  <xdr:twoCellAnchor>
    <xdr:from>
      <xdr:col>14</xdr:col>
      <xdr:colOff>1487260</xdr:colOff>
      <xdr:row>136</xdr:row>
      <xdr:rowOff>173799</xdr:rowOff>
    </xdr:from>
    <xdr:to>
      <xdr:col>15</xdr:col>
      <xdr:colOff>649060</xdr:colOff>
      <xdr:row>139</xdr:row>
      <xdr:rowOff>202374</xdr:rowOff>
    </xdr:to>
    <xdr:sp macro="" textlink="">
      <xdr:nvSpPr>
        <xdr:cNvPr id="17" name="矢印: 下 16">
          <a:extLst>
            <a:ext uri="{FF2B5EF4-FFF2-40B4-BE49-F238E27FC236}">
              <a16:creationId xmlns:a16="http://schemas.microsoft.com/office/drawing/2014/main" id="{E00BD5C9-9756-4352-A8D4-274A81B66E26}"/>
            </a:ext>
          </a:extLst>
        </xdr:cNvPr>
        <xdr:cNvSpPr/>
      </xdr:nvSpPr>
      <xdr:spPr>
        <a:xfrm>
          <a:off x="18019939" y="33552120"/>
          <a:ext cx="1039585" cy="763361"/>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914400</xdr:colOff>
      <xdr:row>137</xdr:row>
      <xdr:rowOff>71129</xdr:rowOff>
    </xdr:from>
    <xdr:to>
      <xdr:col>20</xdr:col>
      <xdr:colOff>1603663</xdr:colOff>
      <xdr:row>139</xdr:row>
      <xdr:rowOff>71128</xdr:rowOff>
    </xdr:to>
    <xdr:sp macro="" textlink="">
      <xdr:nvSpPr>
        <xdr:cNvPr id="18" name="テキスト ボックス 17">
          <a:extLst>
            <a:ext uri="{FF2B5EF4-FFF2-40B4-BE49-F238E27FC236}">
              <a16:creationId xmlns:a16="http://schemas.microsoft.com/office/drawing/2014/main" id="{2987E6F2-AB0E-488D-B738-82713882037D}"/>
            </a:ext>
          </a:extLst>
        </xdr:cNvPr>
        <xdr:cNvSpPr txBox="1"/>
      </xdr:nvSpPr>
      <xdr:spPr>
        <a:xfrm>
          <a:off x="19324864" y="33694379"/>
          <a:ext cx="7261513" cy="489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透明部位の日射熱取得率を計算する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261938</xdr:colOff>
      <xdr:row>77</xdr:row>
      <xdr:rowOff>7938</xdr:rowOff>
    </xdr:from>
    <xdr:to>
      <xdr:col>26</xdr:col>
      <xdr:colOff>623046</xdr:colOff>
      <xdr:row>100</xdr:row>
      <xdr:rowOff>52214</xdr:rowOff>
    </xdr:to>
    <xdr:pic>
      <xdr:nvPicPr>
        <xdr:cNvPr id="2" name="図 1">
          <a:extLst>
            <a:ext uri="{FF2B5EF4-FFF2-40B4-BE49-F238E27FC236}">
              <a16:creationId xmlns:a16="http://schemas.microsoft.com/office/drawing/2014/main" id="{F5A42340-07FD-4893-88B9-BDE1E91090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79188" y="8294688"/>
          <a:ext cx="7608047" cy="5338589"/>
        </a:xfrm>
        <a:prstGeom prst="rect">
          <a:avLst/>
        </a:prstGeom>
      </xdr:spPr>
    </xdr:pic>
    <xdr:clientData/>
  </xdr:twoCellAnchor>
  <xdr:twoCellAnchor editAs="oneCell">
    <xdr:from>
      <xdr:col>20</xdr:col>
      <xdr:colOff>31749</xdr:colOff>
      <xdr:row>2</xdr:row>
      <xdr:rowOff>238125</xdr:rowOff>
    </xdr:from>
    <xdr:to>
      <xdr:col>25</xdr:col>
      <xdr:colOff>254000</xdr:colOff>
      <xdr:row>18</xdr:row>
      <xdr:rowOff>152836</xdr:rowOff>
    </xdr:to>
    <xdr:pic>
      <xdr:nvPicPr>
        <xdr:cNvPr id="4" name="図 3">
          <a:extLst>
            <a:ext uri="{FF2B5EF4-FFF2-40B4-BE49-F238E27FC236}">
              <a16:creationId xmlns:a16="http://schemas.microsoft.com/office/drawing/2014/main" id="{C3085209-2C97-CD3B-01A1-E3D079B746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676937" y="714375"/>
          <a:ext cx="3675063" cy="3962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12</xdr:col>
      <xdr:colOff>635000</xdr:colOff>
      <xdr:row>15</xdr:row>
      <xdr:rowOff>120650</xdr:rowOff>
    </xdr:from>
    <xdr:ext cx="5217275" cy="2020887"/>
    <xdr:pic>
      <xdr:nvPicPr>
        <xdr:cNvPr id="5" name="図 4">
          <a:extLst>
            <a:ext uri="{FF2B5EF4-FFF2-40B4-BE49-F238E27FC236}">
              <a16:creationId xmlns:a16="http://schemas.microsoft.com/office/drawing/2014/main" id="{6357D896-2FA2-8B76-8318-7F1272264384}"/>
            </a:ext>
          </a:extLst>
        </xdr:cNvPr>
        <xdr:cNvPicPr>
          <a:picLocks noChangeAspect="1"/>
        </xdr:cNvPicPr>
      </xdr:nvPicPr>
      <xdr:blipFill>
        <a:blip xmlns:r="http://schemas.openxmlformats.org/officeDocument/2006/relationships" r:embed="rId1"/>
        <a:stretch>
          <a:fillRect/>
        </a:stretch>
      </xdr:blipFill>
      <xdr:spPr>
        <a:xfrm>
          <a:off x="11715750" y="3549650"/>
          <a:ext cx="5222037" cy="2006600"/>
        </a:xfrm>
        <a:prstGeom prst="rect">
          <a:avLst/>
        </a:prstGeom>
      </xdr:spPr>
    </xdr:pic>
    <xdr:clientData/>
  </xdr:oneCellAnchor>
  <xdr:oneCellAnchor>
    <xdr:from>
      <xdr:col>7</xdr:col>
      <xdr:colOff>25400</xdr:colOff>
      <xdr:row>33</xdr:row>
      <xdr:rowOff>31750</xdr:rowOff>
    </xdr:from>
    <xdr:ext cx="6112190" cy="4808782"/>
    <xdr:pic>
      <xdr:nvPicPr>
        <xdr:cNvPr id="6" name="図 5">
          <a:extLst>
            <a:ext uri="{FF2B5EF4-FFF2-40B4-BE49-F238E27FC236}">
              <a16:creationId xmlns:a16="http://schemas.microsoft.com/office/drawing/2014/main" id="{E5E4F339-4CBC-8D48-8795-16E0FDD711C7}"/>
            </a:ext>
          </a:extLst>
        </xdr:cNvPr>
        <xdr:cNvPicPr>
          <a:picLocks noChangeAspect="1"/>
        </xdr:cNvPicPr>
      </xdr:nvPicPr>
      <xdr:blipFill>
        <a:blip xmlns:r="http://schemas.openxmlformats.org/officeDocument/2006/relationships" r:embed="rId2"/>
        <a:stretch>
          <a:fillRect/>
        </a:stretch>
      </xdr:blipFill>
      <xdr:spPr>
        <a:xfrm>
          <a:off x="6121400" y="8032750"/>
          <a:ext cx="6121715" cy="477544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279400</xdr:colOff>
      <xdr:row>4</xdr:row>
      <xdr:rowOff>146050</xdr:rowOff>
    </xdr:from>
    <xdr:ext cx="1197037" cy="958899"/>
    <xdr:pic>
      <xdr:nvPicPr>
        <xdr:cNvPr id="2" name="図 1">
          <a:extLst>
            <a:ext uri="{FF2B5EF4-FFF2-40B4-BE49-F238E27FC236}">
              <a16:creationId xmlns:a16="http://schemas.microsoft.com/office/drawing/2014/main" id="{7A461A03-6233-4333-B89E-B6A891013DBF}"/>
            </a:ext>
          </a:extLst>
        </xdr:cNvPr>
        <xdr:cNvPicPr>
          <a:picLocks noChangeAspect="1"/>
        </xdr:cNvPicPr>
      </xdr:nvPicPr>
      <xdr:blipFill>
        <a:blip xmlns:r="http://schemas.openxmlformats.org/officeDocument/2006/relationships" r:embed="rId1"/>
        <a:stretch>
          <a:fillRect/>
        </a:stretch>
      </xdr:blipFill>
      <xdr:spPr>
        <a:xfrm>
          <a:off x="4381500" y="1057275"/>
          <a:ext cx="1197037" cy="958899"/>
        </a:xfrm>
        <a:prstGeom prst="rect">
          <a:avLst/>
        </a:prstGeom>
      </xdr:spPr>
    </xdr:pic>
    <xdr:clientData/>
  </xdr:oneCellAnchor>
  <xdr:oneCellAnchor>
    <xdr:from>
      <xdr:col>4</xdr:col>
      <xdr:colOff>349250</xdr:colOff>
      <xdr:row>15</xdr:row>
      <xdr:rowOff>0</xdr:rowOff>
    </xdr:from>
    <xdr:ext cx="1292292" cy="900158"/>
    <xdr:pic>
      <xdr:nvPicPr>
        <xdr:cNvPr id="3" name="図 2">
          <a:extLst>
            <a:ext uri="{FF2B5EF4-FFF2-40B4-BE49-F238E27FC236}">
              <a16:creationId xmlns:a16="http://schemas.microsoft.com/office/drawing/2014/main" id="{D3089E03-27E8-4D6F-B3B8-DA3FF74018F1}"/>
            </a:ext>
          </a:extLst>
        </xdr:cNvPr>
        <xdr:cNvPicPr>
          <a:picLocks noChangeAspect="1"/>
        </xdr:cNvPicPr>
      </xdr:nvPicPr>
      <xdr:blipFill>
        <a:blip xmlns:r="http://schemas.openxmlformats.org/officeDocument/2006/relationships" r:embed="rId2"/>
        <a:stretch>
          <a:fillRect/>
        </a:stretch>
      </xdr:blipFill>
      <xdr:spPr>
        <a:xfrm>
          <a:off x="4457700" y="3429000"/>
          <a:ext cx="1292292" cy="900158"/>
        </a:xfrm>
        <a:prstGeom prst="rect">
          <a:avLst/>
        </a:prstGeom>
      </xdr:spPr>
    </xdr:pic>
    <xdr:clientData/>
  </xdr:oneCellAnchor>
  <xdr:oneCellAnchor>
    <xdr:from>
      <xdr:col>4</xdr:col>
      <xdr:colOff>349250</xdr:colOff>
      <xdr:row>23</xdr:row>
      <xdr:rowOff>203200</xdr:rowOff>
    </xdr:from>
    <xdr:ext cx="1235139" cy="1131945"/>
    <xdr:pic>
      <xdr:nvPicPr>
        <xdr:cNvPr id="4" name="図 3">
          <a:extLst>
            <a:ext uri="{FF2B5EF4-FFF2-40B4-BE49-F238E27FC236}">
              <a16:creationId xmlns:a16="http://schemas.microsoft.com/office/drawing/2014/main" id="{0BA85DFA-CB4D-4969-8807-678047D7CDFC}"/>
            </a:ext>
          </a:extLst>
        </xdr:cNvPr>
        <xdr:cNvPicPr>
          <a:picLocks noChangeAspect="1"/>
        </xdr:cNvPicPr>
      </xdr:nvPicPr>
      <xdr:blipFill>
        <a:blip xmlns:r="http://schemas.openxmlformats.org/officeDocument/2006/relationships" r:embed="rId3"/>
        <a:stretch>
          <a:fillRect/>
        </a:stretch>
      </xdr:blipFill>
      <xdr:spPr>
        <a:xfrm>
          <a:off x="4457700" y="5457825"/>
          <a:ext cx="1235139" cy="1131945"/>
        </a:xfrm>
        <a:prstGeom prst="rect">
          <a:avLst/>
        </a:prstGeom>
      </xdr:spPr>
    </xdr:pic>
    <xdr:clientData/>
  </xdr:oneCellAnchor>
  <xdr:oneCellAnchor>
    <xdr:from>
      <xdr:col>12</xdr:col>
      <xdr:colOff>635000</xdr:colOff>
      <xdr:row>15</xdr:row>
      <xdr:rowOff>120650</xdr:rowOff>
    </xdr:from>
    <xdr:ext cx="5217275" cy="2020887"/>
    <xdr:pic>
      <xdr:nvPicPr>
        <xdr:cNvPr id="5" name="図 4">
          <a:extLst>
            <a:ext uri="{FF2B5EF4-FFF2-40B4-BE49-F238E27FC236}">
              <a16:creationId xmlns:a16="http://schemas.microsoft.com/office/drawing/2014/main" id="{2F0CD74C-D507-4E1B-A31C-C44114A2605B}"/>
            </a:ext>
          </a:extLst>
        </xdr:cNvPr>
        <xdr:cNvPicPr>
          <a:picLocks noChangeAspect="1"/>
        </xdr:cNvPicPr>
      </xdr:nvPicPr>
      <xdr:blipFill>
        <a:blip xmlns:r="http://schemas.openxmlformats.org/officeDocument/2006/relationships" r:embed="rId4"/>
        <a:stretch>
          <a:fillRect/>
        </a:stretch>
      </xdr:blipFill>
      <xdr:spPr>
        <a:xfrm>
          <a:off x="11696700" y="3552825"/>
          <a:ext cx="5217275" cy="2020887"/>
        </a:xfrm>
        <a:prstGeom prst="rect">
          <a:avLst/>
        </a:prstGeom>
      </xdr:spPr>
    </xdr:pic>
    <xdr:clientData/>
  </xdr:oneCellAnchor>
  <xdr:oneCellAnchor>
    <xdr:from>
      <xdr:col>7</xdr:col>
      <xdr:colOff>25400</xdr:colOff>
      <xdr:row>33</xdr:row>
      <xdr:rowOff>31750</xdr:rowOff>
    </xdr:from>
    <xdr:ext cx="6112190" cy="4808782"/>
    <xdr:pic>
      <xdr:nvPicPr>
        <xdr:cNvPr id="6" name="図 5">
          <a:extLst>
            <a:ext uri="{FF2B5EF4-FFF2-40B4-BE49-F238E27FC236}">
              <a16:creationId xmlns:a16="http://schemas.microsoft.com/office/drawing/2014/main" id="{9B6CC421-FFEF-4EC0-8C09-BFE9E56EFB5D}"/>
            </a:ext>
          </a:extLst>
        </xdr:cNvPr>
        <xdr:cNvPicPr>
          <a:picLocks noChangeAspect="1"/>
        </xdr:cNvPicPr>
      </xdr:nvPicPr>
      <xdr:blipFill>
        <a:blip xmlns:r="http://schemas.openxmlformats.org/officeDocument/2006/relationships" r:embed="rId5"/>
        <a:stretch>
          <a:fillRect/>
        </a:stretch>
      </xdr:blipFill>
      <xdr:spPr>
        <a:xfrm>
          <a:off x="6105525" y="7572375"/>
          <a:ext cx="6112190" cy="4808782"/>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C096873-E1F6-42E0-BAD8-1264C75D369A}">
  <we:reference id="wa200000113" version="1.0.0.0" store="ja-JP" storeType="OMEX"/>
  <we:alternateReferences>
    <we:reference id="WA200000113" version="1.0.0.0" store="WA20000011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kenken.go.jp/becc/documents/house/3-2_160715_v07_PVer0201.pdf" TargetMode="External"/><Relationship Id="rId1" Type="http://schemas.openxmlformats.org/officeDocument/2006/relationships/hyperlink" Target="https://yoshino-gypsum.com/special/hosoku/list_jis"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kenken.go.jp/becc/documents/house/3-2_160715_v07_PVer0201.pdf" TargetMode="External"/><Relationship Id="rId1" Type="http://schemas.openxmlformats.org/officeDocument/2006/relationships/hyperlink" Target="https://yoshino-gypsum.com/special/hosoku/list_jis"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3537-D088-4CA2-8053-0ECA8939EEAE}">
  <dimension ref="A1:AQ151"/>
  <sheetViews>
    <sheetView tabSelected="1" topLeftCell="O84" zoomScale="70" zoomScaleNormal="70" workbookViewId="0">
      <selection activeCell="V102" sqref="V102"/>
    </sheetView>
  </sheetViews>
  <sheetFormatPr defaultRowHeight="18"/>
  <cols>
    <col min="1" max="1" width="21.75" customWidth="1"/>
    <col min="2" max="2" width="12" customWidth="1"/>
    <col min="3" max="3" width="9.5" bestFit="1" customWidth="1"/>
    <col min="4" max="5" width="8.33203125" customWidth="1"/>
    <col min="6" max="6" width="47.58203125" customWidth="1"/>
    <col min="7" max="7" width="24.25" customWidth="1"/>
    <col min="8" max="11" width="13.08203125" customWidth="1"/>
    <col min="12" max="12" width="10.58203125" customWidth="1"/>
    <col min="13" max="13" width="11.83203125" customWidth="1"/>
    <col min="14" max="14" width="10" customWidth="1"/>
    <col min="15" max="15" width="24.58203125" customWidth="1"/>
    <col min="16" max="16" width="13.08203125" customWidth="1"/>
    <col min="17" max="17" width="22.75" customWidth="1"/>
    <col min="18" max="18" width="15.25" customWidth="1"/>
    <col min="19" max="19" width="23.08203125" customWidth="1"/>
    <col min="20" max="20" width="12" customWidth="1"/>
    <col min="21" max="21" width="24.83203125" customWidth="1"/>
    <col min="22" max="22" width="16.83203125" customWidth="1"/>
    <col min="23" max="23" width="16" customWidth="1"/>
    <col min="24" max="24" width="12.5" customWidth="1"/>
    <col min="25" max="25" width="14.25" customWidth="1"/>
    <col min="26" max="26" width="10.33203125" customWidth="1"/>
    <col min="27" max="27" width="13.58203125" customWidth="1"/>
    <col min="28" max="28" width="7.58203125" customWidth="1"/>
    <col min="29" max="29" width="11.75" customWidth="1"/>
    <col min="30" max="30" width="8.83203125" customWidth="1"/>
    <col min="31" max="31" width="9" customWidth="1"/>
    <col min="32" max="32" width="13.5" customWidth="1"/>
    <col min="33" max="33" width="11.33203125" customWidth="1"/>
    <col min="34" max="34" width="9.83203125" customWidth="1"/>
    <col min="36" max="36" width="19.33203125" bestFit="1" customWidth="1"/>
    <col min="37" max="37" width="10.5" customWidth="1"/>
    <col min="38" max="38" width="8.33203125" customWidth="1"/>
    <col min="39" max="39" width="13" customWidth="1"/>
    <col min="40" max="40" width="7.83203125" customWidth="1"/>
    <col min="41" max="41" width="14.33203125" customWidth="1"/>
  </cols>
  <sheetData>
    <row r="1" spans="1:28">
      <c r="A1" s="7" t="s">
        <v>112</v>
      </c>
      <c r="B1" s="7"/>
      <c r="F1" s="7" t="s">
        <v>111</v>
      </c>
      <c r="G1" s="7"/>
      <c r="O1" s="7" t="s">
        <v>129</v>
      </c>
      <c r="Q1">
        <f>Q2/SUM($Q$2:$S$2)</f>
        <v>0.11708708612455528</v>
      </c>
      <c r="R1">
        <f>R2/SUM($Q$2:$S$2)</f>
        <v>0.53405557870444553</v>
      </c>
      <c r="S1">
        <f>S2/SUM($Q$2:$S$2)</f>
        <v>0.34885733517099909</v>
      </c>
      <c r="X1" t="e" cm="1">
        <f t="array" ref="X1">+K:ZH26N:Z:XK</f>
        <v>#NAME?</v>
      </c>
    </row>
    <row r="2" spans="1:28">
      <c r="Q2" s="21">
        <f>SUM(R5:R11)+R5</f>
        <v>36.53</v>
      </c>
      <c r="R2" s="21">
        <f>SUM(T5:T11)+T5</f>
        <v>166.61999999999998</v>
      </c>
      <c r="S2" s="21">
        <f>SUM(V5:V11)+V5</f>
        <v>108.84</v>
      </c>
      <c r="T2" s="21"/>
    </row>
    <row r="3" spans="1:28">
      <c r="A3" s="22" t="s">
        <v>178</v>
      </c>
      <c r="B3" s="22"/>
      <c r="C3" s="8" t="s">
        <v>643</v>
      </c>
      <c r="D3" s="57" t="s">
        <v>158</v>
      </c>
      <c r="F3" t="s">
        <v>115</v>
      </c>
      <c r="N3" s="7"/>
      <c r="O3" s="96" t="s">
        <v>250</v>
      </c>
      <c r="P3" s="97"/>
      <c r="Q3" s="194" t="s">
        <v>47</v>
      </c>
      <c r="R3" s="193"/>
      <c r="S3" s="194" t="s">
        <v>79</v>
      </c>
      <c r="T3" s="193"/>
      <c r="U3" s="191" t="s">
        <v>78</v>
      </c>
      <c r="V3" s="191"/>
      <c r="W3" s="194" t="s">
        <v>201</v>
      </c>
      <c r="X3" s="195"/>
      <c r="Y3" s="191" t="s">
        <v>96</v>
      </c>
      <c r="Z3" s="191"/>
      <c r="AB3" s="168"/>
    </row>
    <row r="4" spans="1:28">
      <c r="A4" s="22" t="s">
        <v>60</v>
      </c>
      <c r="B4" s="22"/>
      <c r="C4" s="8">
        <v>6</v>
      </c>
      <c r="F4" s="22" t="s">
        <v>54</v>
      </c>
      <c r="G4" s="99" t="s">
        <v>311</v>
      </c>
      <c r="H4" s="44">
        <f>C6/R4</f>
        <v>1.1667225763166724</v>
      </c>
      <c r="O4" s="18" t="s">
        <v>310</v>
      </c>
      <c r="P4" s="65"/>
      <c r="Q4" s="92" t="s">
        <v>314</v>
      </c>
      <c r="R4" s="24">
        <f>ROUND(面積!D4,2)</f>
        <v>29.81</v>
      </c>
      <c r="S4" s="92" t="s">
        <v>315</v>
      </c>
      <c r="T4" s="24">
        <f>ROUND(面積!F4,2)</f>
        <v>51.35</v>
      </c>
      <c r="U4" s="92" t="s">
        <v>316</v>
      </c>
      <c r="V4" s="24">
        <f>ROUND(面積!H4,2)</f>
        <v>38.93</v>
      </c>
      <c r="W4" s="124"/>
      <c r="X4" s="125"/>
      <c r="Y4" s="93" t="s">
        <v>427</v>
      </c>
      <c r="Z4" s="2">
        <f t="shared" ref="Z4:Z13" si="0">R4+T4+V4+X4</f>
        <v>120.09</v>
      </c>
    </row>
    <row r="5" spans="1:28">
      <c r="A5" s="22" t="s">
        <v>49</v>
      </c>
      <c r="B5" s="99" t="s">
        <v>633</v>
      </c>
      <c r="C5" s="8">
        <v>96.05</v>
      </c>
      <c r="D5" t="s">
        <v>113</v>
      </c>
      <c r="F5" s="22" t="s">
        <v>55</v>
      </c>
      <c r="G5" s="99" t="s">
        <v>312</v>
      </c>
      <c r="H5" s="44">
        <f>C7/T4</f>
        <v>0.61265822784810131</v>
      </c>
      <c r="O5" s="89" t="s">
        <v>5</v>
      </c>
      <c r="P5" s="4" t="s">
        <v>324</v>
      </c>
      <c r="Q5" s="91" t="s">
        <v>305</v>
      </c>
      <c r="R5" s="24">
        <f>ROUND(面積!D5,2)</f>
        <v>0</v>
      </c>
      <c r="S5" s="91" t="s">
        <v>306</v>
      </c>
      <c r="T5" s="24">
        <f>ROUND(面積!F5,2)</f>
        <v>34.79</v>
      </c>
      <c r="U5" s="91" t="s">
        <v>307</v>
      </c>
      <c r="V5" s="123">
        <f>ROUND(面積!H5,2)</f>
        <v>17.399999999999999</v>
      </c>
      <c r="W5" s="93" t="s">
        <v>410</v>
      </c>
      <c r="X5" s="123">
        <f>IF(AND($C$3="戸建て",$C$13="床下断熱"),0,ROUND(面積!J5,2))</f>
        <v>0</v>
      </c>
      <c r="Y5" s="93" t="s">
        <v>424</v>
      </c>
      <c r="Z5" s="2">
        <f t="shared" si="0"/>
        <v>52.19</v>
      </c>
    </row>
    <row r="6" spans="1:28">
      <c r="A6" s="22" t="s">
        <v>50</v>
      </c>
      <c r="B6" s="99" t="s">
        <v>630</v>
      </c>
      <c r="C6" s="8">
        <v>34.78</v>
      </c>
      <c r="D6" t="s">
        <v>113</v>
      </c>
      <c r="F6" s="22" t="s">
        <v>56</v>
      </c>
      <c r="G6" s="99" t="s">
        <v>313</v>
      </c>
      <c r="H6" s="44">
        <f>C8/SUM(V4)</f>
        <v>0.76573336758284083</v>
      </c>
      <c r="O6" s="17"/>
      <c r="P6" s="4" t="s">
        <v>325</v>
      </c>
      <c r="Q6" s="93" t="s">
        <v>304</v>
      </c>
      <c r="R6" s="24">
        <f>IF(AND($C$3="戸建て",$C$13="床下断熱"),ROUND(面積!D10,2),0)</f>
        <v>0</v>
      </c>
      <c r="S6" s="93" t="s">
        <v>308</v>
      </c>
      <c r="T6" s="24">
        <f>IF(AND($C$3="戸建て",$C$13="床下断熱"),ROUND(面積!F10,2),0)</f>
        <v>0</v>
      </c>
      <c r="U6" s="93" t="s">
        <v>309</v>
      </c>
      <c r="V6" s="123">
        <f>IF(AND($C$3="戸建て",$C$13="床下断熱"),ROUND(面積!H10,2),0)</f>
        <v>0</v>
      </c>
      <c r="W6" s="93" t="s">
        <v>438</v>
      </c>
      <c r="X6" s="123">
        <f>IF(AND($C$3="戸建て",$C$13="床下断熱"),0,ROUND(面積!J10,2))</f>
        <v>55.48</v>
      </c>
      <c r="Y6" s="93" t="s">
        <v>425</v>
      </c>
      <c r="Z6" s="2">
        <f t="shared" si="0"/>
        <v>55.48</v>
      </c>
    </row>
    <row r="7" spans="1:28" ht="18" customHeight="1">
      <c r="A7" s="22" t="s">
        <v>51</v>
      </c>
      <c r="B7" s="99" t="s">
        <v>631</v>
      </c>
      <c r="C7" s="8">
        <v>31.46</v>
      </c>
      <c r="D7" t="s">
        <v>113</v>
      </c>
      <c r="E7" s="29" t="str">
        <f>IF(C8&lt;0, "入力エラー","")</f>
        <v/>
      </c>
      <c r="O7" s="17"/>
      <c r="P7" s="74" t="s">
        <v>323</v>
      </c>
      <c r="Q7" s="121" t="s">
        <v>203</v>
      </c>
      <c r="R7" s="7">
        <f>SUM(R5:R6)</f>
        <v>0</v>
      </c>
      <c r="S7" s="121" t="s">
        <v>204</v>
      </c>
      <c r="T7" s="7">
        <f>SUM(T5:T6)</f>
        <v>34.79</v>
      </c>
      <c r="U7" s="121" t="s">
        <v>205</v>
      </c>
      <c r="V7" s="7">
        <f>SUM(V5:V6)</f>
        <v>17.399999999999999</v>
      </c>
      <c r="W7" s="109" t="s">
        <v>243</v>
      </c>
      <c r="X7" s="7">
        <f>SUM(X5:X6)</f>
        <v>55.48</v>
      </c>
      <c r="Y7" s="109" t="s">
        <v>426</v>
      </c>
      <c r="Z7" s="20">
        <f t="shared" si="0"/>
        <v>107.66999999999999</v>
      </c>
    </row>
    <row r="8" spans="1:28">
      <c r="A8" s="22" t="s">
        <v>52</v>
      </c>
      <c r="B8" s="99" t="s">
        <v>632</v>
      </c>
      <c r="C8" s="2">
        <f>C5-C6-C7</f>
        <v>29.809999999999995</v>
      </c>
      <c r="D8" t="s">
        <v>113</v>
      </c>
      <c r="F8" t="s">
        <v>116</v>
      </c>
      <c r="O8" s="17"/>
      <c r="P8" s="4" t="s">
        <v>273</v>
      </c>
      <c r="Q8" s="91" t="s">
        <v>206</v>
      </c>
      <c r="R8" s="24">
        <f>ROUND(面積!D6,2)</f>
        <v>14.21</v>
      </c>
      <c r="S8" s="91" t="s">
        <v>210</v>
      </c>
      <c r="T8" s="24">
        <f>ROUND(面積!F6,2)</f>
        <v>29.26</v>
      </c>
      <c r="U8" s="91" t="s">
        <v>214</v>
      </c>
      <c r="V8" s="24">
        <f>ROUND(面積!H6,2)</f>
        <v>0</v>
      </c>
      <c r="W8" s="93" t="s">
        <v>244</v>
      </c>
      <c r="X8" s="24">
        <f>IF(AND($C$3="戸建て",$C$13="床下断熱"),0,ROUND(面積!J6,2))</f>
        <v>2.91</v>
      </c>
      <c r="Y8" s="93" t="s">
        <v>419</v>
      </c>
      <c r="Z8" s="2">
        <f t="shared" si="0"/>
        <v>46.379999999999995</v>
      </c>
    </row>
    <row r="9" spans="1:28">
      <c r="A9" s="22" t="s">
        <v>53</v>
      </c>
      <c r="B9" s="98" t="s">
        <v>255</v>
      </c>
      <c r="C9" s="8">
        <v>304.98</v>
      </c>
      <c r="D9" t="s">
        <v>113</v>
      </c>
      <c r="F9" s="22" t="s">
        <v>282</v>
      </c>
      <c r="G9" s="99" t="s">
        <v>414</v>
      </c>
      <c r="H9" s="44">
        <f>R13/$Z$13</f>
        <v>0.13260972156677681</v>
      </c>
      <c r="O9" s="17"/>
      <c r="P9" s="4" t="s">
        <v>274</v>
      </c>
      <c r="Q9" s="91" t="s">
        <v>207</v>
      </c>
      <c r="R9" s="66">
        <f>ROUND(面積!D7,2)</f>
        <v>17.2</v>
      </c>
      <c r="S9" s="91" t="s">
        <v>211</v>
      </c>
      <c r="T9" s="24">
        <f>ROUND(面積!F7,2)</f>
        <v>8.74</v>
      </c>
      <c r="U9" s="91" t="s">
        <v>215</v>
      </c>
      <c r="V9" s="24">
        <f>ROUND(面積!H7,2)</f>
        <v>4.3600000000000003</v>
      </c>
      <c r="W9" s="93" t="s">
        <v>245</v>
      </c>
      <c r="X9" s="24">
        <f>IF(AND($C$3="戸建て",$C$13="床下断熱"),0,ROUND(面積!J7,2))</f>
        <v>3.28</v>
      </c>
      <c r="Y9" s="93" t="s">
        <v>420</v>
      </c>
      <c r="Z9" s="2">
        <f t="shared" si="0"/>
        <v>33.58</v>
      </c>
    </row>
    <row r="10" spans="1:28" ht="18" customHeight="1">
      <c r="A10" s="22" t="s">
        <v>57</v>
      </c>
      <c r="B10" s="99" t="s">
        <v>610</v>
      </c>
      <c r="C10" s="8">
        <v>1.4</v>
      </c>
      <c r="D10" t="s">
        <v>114</v>
      </c>
      <c r="F10" s="22" t="s">
        <v>281</v>
      </c>
      <c r="G10" s="99" t="s">
        <v>415</v>
      </c>
      <c r="H10" s="44">
        <f>T13/$Z$13</f>
        <v>0.35227066468217955</v>
      </c>
      <c r="O10" s="17"/>
      <c r="P10" s="4" t="s">
        <v>275</v>
      </c>
      <c r="Q10" s="91" t="s">
        <v>208</v>
      </c>
      <c r="R10" s="24">
        <f>ROUND(面積!D8,2)</f>
        <v>5.12</v>
      </c>
      <c r="S10" s="91" t="s">
        <v>212</v>
      </c>
      <c r="T10" s="24">
        <f>ROUND(面積!F8,2)</f>
        <v>6.77</v>
      </c>
      <c r="U10" s="91" t="s">
        <v>216</v>
      </c>
      <c r="V10" s="24">
        <f>ROUND(面積!H8,2)</f>
        <v>39.08</v>
      </c>
      <c r="W10" s="93" t="s">
        <v>246</v>
      </c>
      <c r="X10" s="24">
        <f>IF(AND($C$3="戸建て",$C$13="床下断熱"),0,ROUND(面積!J8,2))</f>
        <v>2.91</v>
      </c>
      <c r="Y10" s="93" t="s">
        <v>421</v>
      </c>
      <c r="Z10" s="2">
        <f t="shared" si="0"/>
        <v>53.879999999999995</v>
      </c>
    </row>
    <row r="11" spans="1:28" ht="18" customHeight="1">
      <c r="A11" s="22" t="s">
        <v>58</v>
      </c>
      <c r="B11" s="22"/>
      <c r="C11" s="8">
        <v>3.7</v>
      </c>
      <c r="F11" s="22" t="s">
        <v>278</v>
      </c>
      <c r="G11" s="99" t="s">
        <v>416</v>
      </c>
      <c r="H11" s="44">
        <f>V13/$Z$13</f>
        <v>0.26877699931026972</v>
      </c>
      <c r="O11" s="17"/>
      <c r="P11" s="4" t="s">
        <v>276</v>
      </c>
      <c r="Q11" s="91" t="s">
        <v>209</v>
      </c>
      <c r="R11" s="24">
        <f>ROUND(面積!D9,2)</f>
        <v>0</v>
      </c>
      <c r="S11" s="91" t="s">
        <v>213</v>
      </c>
      <c r="T11" s="24">
        <f>ROUND(面積!F9,2)</f>
        <v>17.48</v>
      </c>
      <c r="U11" s="91" t="s">
        <v>217</v>
      </c>
      <c r="V11" s="66">
        <f>ROUND(面積!H9,2)</f>
        <v>13.2</v>
      </c>
      <c r="W11" s="93" t="s">
        <v>248</v>
      </c>
      <c r="X11" s="24">
        <f>IF(AND($C$3="戸建て",$C$13="床下断熱"),0,ROUND(面積!J9,2))</f>
        <v>3.28</v>
      </c>
      <c r="Y11" s="93" t="s">
        <v>422</v>
      </c>
      <c r="Z11" s="2">
        <f t="shared" si="0"/>
        <v>33.96</v>
      </c>
    </row>
    <row r="12" spans="1:28">
      <c r="A12" s="22" t="s">
        <v>59</v>
      </c>
      <c r="B12" s="22"/>
      <c r="C12" s="8">
        <v>3.6</v>
      </c>
      <c r="F12" s="22" t="s">
        <v>417</v>
      </c>
      <c r="G12" s="99" t="s">
        <v>418</v>
      </c>
      <c r="H12" s="44">
        <f>X13/$Z$13</f>
        <v>0.24634261444077399</v>
      </c>
      <c r="O12" s="17"/>
      <c r="P12" s="111" t="s">
        <v>277</v>
      </c>
      <c r="Q12" s="109" t="s">
        <v>270</v>
      </c>
      <c r="R12" s="20">
        <f>SUM(R8:R11)</f>
        <v>36.53</v>
      </c>
      <c r="S12" s="109" t="s">
        <v>271</v>
      </c>
      <c r="T12" s="20">
        <f>SUM(T8:T11)</f>
        <v>62.25</v>
      </c>
      <c r="U12" s="109" t="s">
        <v>272</v>
      </c>
      <c r="V12" s="20">
        <f>SUM(V8:V11)</f>
        <v>56.64</v>
      </c>
      <c r="W12" s="109" t="s">
        <v>411</v>
      </c>
      <c r="X12" s="20">
        <f>SUM(X8:X11)</f>
        <v>12.379999999999999</v>
      </c>
      <c r="Y12" s="109" t="s">
        <v>423</v>
      </c>
      <c r="Z12" s="20">
        <f t="shared" si="0"/>
        <v>167.8</v>
      </c>
    </row>
    <row r="13" spans="1:28" ht="18" customHeight="1">
      <c r="A13" s="22" t="s">
        <v>159</v>
      </c>
      <c r="B13" s="22"/>
      <c r="C13" s="8" t="s">
        <v>649</v>
      </c>
      <c r="D13" s="57" t="s">
        <v>158</v>
      </c>
      <c r="F13" s="22" t="s">
        <v>279</v>
      </c>
      <c r="G13" s="100" t="s">
        <v>252</v>
      </c>
      <c r="H13" s="44">
        <f>R40</f>
        <v>40.443312883435588</v>
      </c>
      <c r="I13" t="s">
        <v>113</v>
      </c>
      <c r="O13" s="90"/>
      <c r="P13" s="74" t="s">
        <v>96</v>
      </c>
      <c r="Q13" s="122" t="s">
        <v>251</v>
      </c>
      <c r="R13" s="20">
        <f>R7+R12</f>
        <v>36.53</v>
      </c>
      <c r="S13" s="122" t="s">
        <v>253</v>
      </c>
      <c r="T13" s="20">
        <f>T7+T12</f>
        <v>97.039999999999992</v>
      </c>
      <c r="U13" s="122" t="s">
        <v>254</v>
      </c>
      <c r="V13" s="20">
        <f>V7+V12</f>
        <v>74.039999999999992</v>
      </c>
      <c r="W13" s="109" t="s">
        <v>412</v>
      </c>
      <c r="X13" s="20">
        <f>X7+X12</f>
        <v>67.86</v>
      </c>
      <c r="Y13" s="128" t="s">
        <v>413</v>
      </c>
      <c r="Z13" s="20">
        <f t="shared" si="0"/>
        <v>275.46999999999997</v>
      </c>
    </row>
    <row r="14" spans="1:28">
      <c r="F14" s="22" t="s">
        <v>280</v>
      </c>
      <c r="G14" s="100" t="s">
        <v>256</v>
      </c>
      <c r="H14" s="44">
        <f>T40</f>
        <v>86.121127567935687</v>
      </c>
      <c r="I14" t="s">
        <v>113</v>
      </c>
    </row>
    <row r="15" spans="1:28">
      <c r="F15" s="22" t="s">
        <v>283</v>
      </c>
      <c r="G15" s="100" t="s">
        <v>257</v>
      </c>
      <c r="H15" s="44">
        <f>V40</f>
        <v>68.647848653704642</v>
      </c>
      <c r="I15" t="s">
        <v>113</v>
      </c>
      <c r="O15" s="136" t="s">
        <v>472</v>
      </c>
      <c r="P15" s="137"/>
      <c r="Q15" s="69" t="s">
        <v>47</v>
      </c>
      <c r="R15" s="23"/>
      <c r="S15" s="69" t="s">
        <v>79</v>
      </c>
      <c r="T15" s="23"/>
      <c r="U15" s="194" t="s">
        <v>78</v>
      </c>
      <c r="V15" s="193"/>
      <c r="W15" s="194" t="s">
        <v>96</v>
      </c>
      <c r="X15" s="193"/>
    </row>
    <row r="16" spans="1:28" ht="18" customHeight="1">
      <c r="F16" s="22" t="s">
        <v>455</v>
      </c>
      <c r="G16" s="100" t="s">
        <v>456</v>
      </c>
      <c r="H16">
        <f>X40</f>
        <v>30.755734262697679</v>
      </c>
      <c r="I16" t="s">
        <v>113</v>
      </c>
      <c r="O16" s="89" t="s">
        <v>11</v>
      </c>
      <c r="P16" s="4" t="s">
        <v>6</v>
      </c>
      <c r="Q16" s="91" t="s">
        <v>218</v>
      </c>
      <c r="R16" s="24">
        <f>ROUND(面積!D11,2)</f>
        <v>6.94</v>
      </c>
      <c r="S16" s="91" t="s">
        <v>225</v>
      </c>
      <c r="T16" s="24">
        <f>ROUND(面積!F11,2)</f>
        <v>8.17</v>
      </c>
      <c r="U16" s="91" t="s">
        <v>231</v>
      </c>
      <c r="V16" s="24">
        <f>ROUND(面積!H11,2)</f>
        <v>0</v>
      </c>
      <c r="W16" s="93" t="s">
        <v>473</v>
      </c>
      <c r="X16" s="2">
        <f t="shared" ref="X16:X24" si="1">R16+T16+V16</f>
        <v>15.11</v>
      </c>
    </row>
    <row r="17" spans="6:26" ht="18" customHeight="1">
      <c r="O17" s="17"/>
      <c r="P17" s="4" t="s">
        <v>7</v>
      </c>
      <c r="Q17" s="91" t="s">
        <v>219</v>
      </c>
      <c r="R17" s="24">
        <f>ROUND(面積!D12,2)</f>
        <v>3.13</v>
      </c>
      <c r="S17" s="91" t="s">
        <v>226</v>
      </c>
      <c r="T17" s="24">
        <f>ROUND(面積!F12,2)</f>
        <v>0.66</v>
      </c>
      <c r="U17" s="91" t="s">
        <v>232</v>
      </c>
      <c r="V17" s="24">
        <f>ROUND(面積!H12,2)</f>
        <v>0</v>
      </c>
      <c r="W17" s="93" t="s">
        <v>474</v>
      </c>
      <c r="X17" s="2">
        <f t="shared" si="1"/>
        <v>3.79</v>
      </c>
      <c r="Y17" s="58" t="s">
        <v>183</v>
      </c>
    </row>
    <row r="18" spans="6:26" ht="18" customHeight="1">
      <c r="F18" t="s">
        <v>119</v>
      </c>
      <c r="O18" s="17"/>
      <c r="P18" s="4" t="s">
        <v>8</v>
      </c>
      <c r="Q18" s="91" t="s">
        <v>220</v>
      </c>
      <c r="R18" s="24">
        <f>ROUND(面積!D13,2)</f>
        <v>0</v>
      </c>
      <c r="S18" s="91" t="s">
        <v>227</v>
      </c>
      <c r="T18" s="24">
        <f>ROUND(面積!F13,2)</f>
        <v>4.59</v>
      </c>
      <c r="U18" s="91" t="s">
        <v>233</v>
      </c>
      <c r="V18" s="24">
        <f>ROUND(面積!H13,2)</f>
        <v>3.15</v>
      </c>
      <c r="W18" s="93" t="s">
        <v>475</v>
      </c>
      <c r="X18" s="2">
        <f t="shared" si="1"/>
        <v>7.74</v>
      </c>
      <c r="Y18" s="58"/>
    </row>
    <row r="19" spans="6:26">
      <c r="F19" s="22" t="s">
        <v>299</v>
      </c>
      <c r="G19" s="99" t="s">
        <v>296</v>
      </c>
      <c r="H19" s="44" t="str">
        <f>IF($C$3="共同",Z36+Z38,"-")</f>
        <v>-</v>
      </c>
      <c r="I19" t="s">
        <v>113</v>
      </c>
      <c r="O19" s="17"/>
      <c r="P19" s="4" t="s">
        <v>9</v>
      </c>
      <c r="Q19" s="91" t="s">
        <v>221</v>
      </c>
      <c r="R19" s="24">
        <f>ROUND(面積!D14,2)</f>
        <v>0</v>
      </c>
      <c r="S19" s="91" t="s">
        <v>228</v>
      </c>
      <c r="T19" s="24">
        <f>ROUND(面積!F14,2)</f>
        <v>0.99</v>
      </c>
      <c r="U19" s="91" t="s">
        <v>234</v>
      </c>
      <c r="V19" s="24">
        <f>ROUND(面積!H14,2)</f>
        <v>1.08</v>
      </c>
      <c r="W19" s="93" t="s">
        <v>476</v>
      </c>
      <c r="X19" s="2">
        <f t="shared" si="1"/>
        <v>2.0700000000000003</v>
      </c>
      <c r="Y19" s="58" t="s">
        <v>184</v>
      </c>
    </row>
    <row r="20" spans="6:26">
      <c r="F20" s="22" t="s">
        <v>298</v>
      </c>
      <c r="G20" s="99" t="s">
        <v>297</v>
      </c>
      <c r="H20" s="44" t="str">
        <f>IF($C$3="共同",Z33+Z40,"-")</f>
        <v>-</v>
      </c>
      <c r="I20" t="s">
        <v>113</v>
      </c>
      <c r="O20" s="90"/>
      <c r="P20" s="74" t="s">
        <v>10</v>
      </c>
      <c r="Q20" s="109" t="s">
        <v>481</v>
      </c>
      <c r="R20" s="20">
        <f>SUM(R16:R19)</f>
        <v>10.07</v>
      </c>
      <c r="S20" s="109" t="s">
        <v>482</v>
      </c>
      <c r="T20" s="20">
        <f>SUM(T16:T19)</f>
        <v>14.41</v>
      </c>
      <c r="U20" s="109" t="s">
        <v>483</v>
      </c>
      <c r="V20" s="20">
        <f>SUM(V16:V19)</f>
        <v>4.2300000000000004</v>
      </c>
      <c r="W20" s="109" t="s">
        <v>477</v>
      </c>
      <c r="X20" s="20">
        <f t="shared" si="1"/>
        <v>28.71</v>
      </c>
    </row>
    <row r="21" spans="6:26">
      <c r="F21" s="22" t="s">
        <v>300</v>
      </c>
      <c r="G21" s="99" t="s">
        <v>285</v>
      </c>
      <c r="H21" s="44" t="str">
        <f>IF($C$3="共同",H19/C9,"-")</f>
        <v>-</v>
      </c>
      <c r="O21" s="89" t="s">
        <v>12</v>
      </c>
      <c r="P21" s="4" t="s">
        <v>8</v>
      </c>
      <c r="Q21" s="91" t="s">
        <v>222</v>
      </c>
      <c r="R21" s="24">
        <f>ROUND(面積!D15,2)</f>
        <v>1.62</v>
      </c>
      <c r="S21" s="91" t="s">
        <v>229</v>
      </c>
      <c r="T21" s="24">
        <f>ROUND(面積!F15,2)</f>
        <v>0</v>
      </c>
      <c r="U21" s="91" t="s">
        <v>235</v>
      </c>
      <c r="V21" s="24">
        <f>ROUND(面積!H15,2)</f>
        <v>0</v>
      </c>
      <c r="W21" s="93" t="s">
        <v>478</v>
      </c>
      <c r="X21" s="2">
        <f t="shared" si="1"/>
        <v>1.62</v>
      </c>
      <c r="Y21" s="58"/>
    </row>
    <row r="22" spans="6:26" ht="18" customHeight="1">
      <c r="F22" s="22" t="s">
        <v>301</v>
      </c>
      <c r="G22" s="99" t="s">
        <v>286</v>
      </c>
      <c r="H22" s="44" t="str">
        <f>IF($C$3="共同",SUM(H19:H20)/C9,"-")</f>
        <v>-</v>
      </c>
      <c r="O22" s="17"/>
      <c r="P22" s="4" t="s">
        <v>9</v>
      </c>
      <c r="Q22" s="91" t="s">
        <v>223</v>
      </c>
      <c r="R22" s="24">
        <f>ROUND(面積!D16,2)</f>
        <v>0</v>
      </c>
      <c r="S22" s="91" t="s">
        <v>230</v>
      </c>
      <c r="T22" s="24">
        <f>ROUND(面積!F16,2)</f>
        <v>0</v>
      </c>
      <c r="U22" s="91" t="s">
        <v>236</v>
      </c>
      <c r="V22" s="24">
        <f>ROUND(面積!H16,2)</f>
        <v>1.89</v>
      </c>
      <c r="W22" s="93" t="s">
        <v>479</v>
      </c>
      <c r="X22" s="2">
        <f t="shared" si="1"/>
        <v>1.89</v>
      </c>
      <c r="Y22" s="58" t="s">
        <v>185</v>
      </c>
    </row>
    <row r="23" spans="6:26">
      <c r="F23" s="22" t="s">
        <v>191</v>
      </c>
      <c r="G23" s="98" t="s">
        <v>287</v>
      </c>
      <c r="H23" s="44" t="str">
        <f>IF($C$3="共同",1/(1+EXP(-9.10907512*($C$10-1.05204145))),"-")</f>
        <v>-</v>
      </c>
      <c r="O23" s="90"/>
      <c r="P23" s="117" t="s">
        <v>10</v>
      </c>
      <c r="Q23" s="129" t="s">
        <v>484</v>
      </c>
      <c r="R23" s="134">
        <f>SUM(R21:R22)</f>
        <v>1.62</v>
      </c>
      <c r="S23" s="129" t="s">
        <v>485</v>
      </c>
      <c r="T23" s="134">
        <f>SUM(T21:T22)</f>
        <v>0</v>
      </c>
      <c r="U23" s="129" t="s">
        <v>486</v>
      </c>
      <c r="V23" s="134">
        <f>SUM(V21:V22)</f>
        <v>1.89</v>
      </c>
      <c r="W23" s="109" t="s">
        <v>480</v>
      </c>
      <c r="X23" s="20">
        <f t="shared" si="1"/>
        <v>3.51</v>
      </c>
    </row>
    <row r="24" spans="6:26" ht="18" customHeight="1">
      <c r="F24" s="63" t="s">
        <v>67</v>
      </c>
      <c r="G24" s="99" t="s">
        <v>288</v>
      </c>
      <c r="H24" s="44">
        <f>IF($C$3="共同",MAX(MIN(H23,H22),H21),1)</f>
        <v>1</v>
      </c>
      <c r="O24" s="116" t="s">
        <v>96</v>
      </c>
      <c r="P24" s="135"/>
      <c r="Q24" s="109" t="s">
        <v>490</v>
      </c>
      <c r="R24" s="20">
        <f>R20+R23</f>
        <v>11.690000000000001</v>
      </c>
      <c r="S24" s="109" t="s">
        <v>489</v>
      </c>
      <c r="T24" s="20">
        <f>T20+T23</f>
        <v>14.41</v>
      </c>
      <c r="U24" s="109" t="s">
        <v>488</v>
      </c>
      <c r="V24" s="20">
        <f>V20+V23</f>
        <v>6.12</v>
      </c>
      <c r="W24" s="109" t="s">
        <v>487</v>
      </c>
      <c r="X24" s="20">
        <f t="shared" si="1"/>
        <v>32.22</v>
      </c>
    </row>
    <row r="25" spans="6:26">
      <c r="F25" s="22" t="s">
        <v>68</v>
      </c>
      <c r="G25" s="99" t="s">
        <v>289</v>
      </c>
      <c r="H25" s="44">
        <f>C9*H24</f>
        <v>304.98</v>
      </c>
      <c r="I25" t="s">
        <v>113</v>
      </c>
    </row>
    <row r="26" spans="6:26" ht="19" customHeight="1">
      <c r="F26" s="115"/>
      <c r="G26" s="114" t="s">
        <v>634</v>
      </c>
      <c r="H26">
        <f>(H25-Z36-Z38-Z34)/(Z33+Z37+Z39)</f>
        <v>1</v>
      </c>
      <c r="O26" s="89" t="s">
        <v>13</v>
      </c>
      <c r="P26" s="26" t="s">
        <v>80</v>
      </c>
      <c r="R26" s="5"/>
      <c r="T26" s="5"/>
      <c r="V26" s="5"/>
      <c r="W26" s="19"/>
      <c r="X26" s="19"/>
    </row>
    <row r="27" spans="6:26" ht="18" customHeight="1">
      <c r="O27" s="17"/>
      <c r="P27" s="27" t="s">
        <v>77</v>
      </c>
      <c r="R27" s="24">
        <f>ROUND(面積!D18,2)</f>
        <v>8.64</v>
      </c>
      <c r="T27" s="5"/>
      <c r="V27" s="5"/>
      <c r="W27" s="5"/>
      <c r="X27" s="5"/>
    </row>
    <row r="28" spans="6:26" ht="20.149999999999999" customHeight="1">
      <c r="F28" t="s">
        <v>469</v>
      </c>
      <c r="O28" s="17"/>
      <c r="P28" s="27" t="s">
        <v>78</v>
      </c>
      <c r="R28" s="66">
        <f>ROUND(面積!D19,2)</f>
        <v>17.2</v>
      </c>
      <c r="T28" s="24">
        <f>ROUND(面積!F19,2)</f>
        <v>29.51</v>
      </c>
      <c r="V28" s="5"/>
      <c r="W28" s="5"/>
      <c r="X28" s="5"/>
    </row>
    <row r="29" spans="6:26">
      <c r="F29" s="22" t="s">
        <v>64</v>
      </c>
      <c r="G29" s="99" t="s">
        <v>290</v>
      </c>
      <c r="H29" s="2">
        <f>VLOOKUP($C$4,暖冷房日,2,FALSE)</f>
        <v>169</v>
      </c>
      <c r="O29" s="90"/>
      <c r="P29" s="26" t="s">
        <v>201</v>
      </c>
      <c r="R29" s="24">
        <f>ROUND(面積!D20,2)</f>
        <v>34.78</v>
      </c>
      <c r="T29" s="24">
        <f>ROUND(面積!F20,2)</f>
        <v>0</v>
      </c>
      <c r="V29" s="66">
        <f>ROUND(面積!H20,2)</f>
        <v>20.7</v>
      </c>
      <c r="W29" s="66"/>
      <c r="X29" s="5"/>
    </row>
    <row r="30" spans="6:26">
      <c r="F30" s="22" t="s">
        <v>63</v>
      </c>
      <c r="G30" s="99" t="s">
        <v>291</v>
      </c>
      <c r="H30" s="2">
        <f>VLOOKUP($C$4,暖冷房日,3,FALSE)</f>
        <v>117</v>
      </c>
      <c r="J30" s="1"/>
    </row>
    <row r="31" spans="6:26">
      <c r="F31" s="22" t="s">
        <v>65</v>
      </c>
      <c r="G31" s="99" t="s">
        <v>294</v>
      </c>
      <c r="H31" s="183">
        <f>(C11*H29+C12*H30)/(H29+H30)</f>
        <v>3.6590909090909092</v>
      </c>
      <c r="I31" t="s">
        <v>126</v>
      </c>
      <c r="J31" s="1"/>
      <c r="O31" t="s">
        <v>439</v>
      </c>
    </row>
    <row r="32" spans="6:26" ht="18" customHeight="1">
      <c r="F32" s="22" t="s">
        <v>125</v>
      </c>
      <c r="G32" s="99" t="s">
        <v>295</v>
      </c>
      <c r="H32" s="44">
        <f>$H$31/100*$C$9</f>
        <v>11.159495454545455</v>
      </c>
      <c r="I32" t="s">
        <v>126</v>
      </c>
      <c r="O32" s="95" t="s">
        <v>284</v>
      </c>
      <c r="P32" s="45"/>
      <c r="Q32" s="46" t="s">
        <v>47</v>
      </c>
      <c r="R32" s="46"/>
      <c r="S32" s="46" t="s">
        <v>79</v>
      </c>
      <c r="T32" s="46"/>
      <c r="U32" s="46" t="s">
        <v>78</v>
      </c>
      <c r="V32" s="46"/>
      <c r="W32" s="69" t="s">
        <v>201</v>
      </c>
      <c r="X32" s="23"/>
      <c r="Y32" s="68" t="s">
        <v>96</v>
      </c>
      <c r="Z32" s="45"/>
    </row>
    <row r="33" spans="6:27" ht="18.75" customHeight="1">
      <c r="F33" s="22" t="s">
        <v>66</v>
      </c>
      <c r="G33" s="99" t="s">
        <v>293</v>
      </c>
      <c r="H33" s="44">
        <f>1/(1+EXP(-0.12852127*($C$12-13.35408535)))</f>
        <v>0.22207629896385836</v>
      </c>
      <c r="I33" s="1"/>
      <c r="O33" s="86" t="s">
        <v>5</v>
      </c>
      <c r="P33" s="4" t="s">
        <v>324</v>
      </c>
      <c r="Q33" s="94" t="s">
        <v>317</v>
      </c>
      <c r="R33" s="2">
        <f>R5*MR_A/R$4</f>
        <v>0</v>
      </c>
      <c r="S33" s="94" t="s">
        <v>319</v>
      </c>
      <c r="T33" s="2">
        <f>T5*OR_A/T$4</f>
        <v>21.314379746835442</v>
      </c>
      <c r="U33" s="94" t="s">
        <v>321</v>
      </c>
      <c r="V33" s="105">
        <f>V5*NO_A/V$4</f>
        <v>13.32376059594143</v>
      </c>
      <c r="W33" s="127" t="s">
        <v>436</v>
      </c>
      <c r="X33" s="2">
        <v>0</v>
      </c>
      <c r="Y33" s="93" t="s">
        <v>329</v>
      </c>
      <c r="Z33" s="62">
        <f t="shared" ref="Z33:Z41" si="2">R33+T33+V33+X33</f>
        <v>34.638140342776872</v>
      </c>
    </row>
    <row r="34" spans="6:27">
      <c r="F34" s="22" t="s">
        <v>69</v>
      </c>
      <c r="G34" s="99" t="s">
        <v>292</v>
      </c>
      <c r="H34" s="44">
        <f>H25*H33</f>
        <v>67.728829657997522</v>
      </c>
      <c r="I34" t="s">
        <v>113</v>
      </c>
      <c r="O34" s="87"/>
      <c r="P34" s="4" t="s">
        <v>325</v>
      </c>
      <c r="Q34" s="94" t="s">
        <v>318</v>
      </c>
      <c r="R34" s="2">
        <f>R6*MR_A/R$4</f>
        <v>0</v>
      </c>
      <c r="S34" s="94" t="s">
        <v>320</v>
      </c>
      <c r="T34" s="2">
        <f>T6*OR_A/T$4</f>
        <v>0</v>
      </c>
      <c r="U34" s="94" t="s">
        <v>322</v>
      </c>
      <c r="V34" s="2">
        <f>V6*NO_A/V$4</f>
        <v>0</v>
      </c>
      <c r="W34" s="93" t="s">
        <v>435</v>
      </c>
      <c r="X34" s="2">
        <f>X6*(MR_A+OR_A+NO_A)/($R$4+$T$4+$V$4)</f>
        <v>44.373836289449578</v>
      </c>
      <c r="Y34" s="93" t="s">
        <v>330</v>
      </c>
      <c r="Z34" s="62">
        <f t="shared" si="2"/>
        <v>44.373836289449578</v>
      </c>
    </row>
    <row r="35" spans="6:27">
      <c r="O35" s="87"/>
      <c r="P35" s="108" t="s">
        <v>323</v>
      </c>
      <c r="Q35" s="109" t="s">
        <v>333</v>
      </c>
      <c r="R35" s="7">
        <f>SUM(R33:R34)</f>
        <v>0</v>
      </c>
      <c r="S35" s="109" t="s">
        <v>332</v>
      </c>
      <c r="T35" s="7">
        <f>SUM(T33:T34)</f>
        <v>21.314379746835442</v>
      </c>
      <c r="U35" s="109" t="s">
        <v>331</v>
      </c>
      <c r="V35" s="7">
        <f>SUM(V33:V34)</f>
        <v>13.32376059594143</v>
      </c>
      <c r="W35" s="109" t="s">
        <v>437</v>
      </c>
      <c r="X35" s="7">
        <f>SUM(X33:X34)</f>
        <v>44.373836289449578</v>
      </c>
      <c r="Y35" s="109" t="s">
        <v>334</v>
      </c>
      <c r="Z35" s="110">
        <f t="shared" si="2"/>
        <v>79.01197663222645</v>
      </c>
    </row>
    <row r="36" spans="6:27">
      <c r="F36" t="s">
        <v>192</v>
      </c>
      <c r="I36" t="s">
        <v>113</v>
      </c>
      <c r="O36" s="87"/>
      <c r="P36" s="4" t="s">
        <v>273</v>
      </c>
      <c r="Q36" s="91" t="s">
        <v>258</v>
      </c>
      <c r="R36" s="44">
        <f>R$40*R8/R$12</f>
        <v>15.732260500235963</v>
      </c>
      <c r="S36" s="91" t="s">
        <v>262</v>
      </c>
      <c r="T36" s="44">
        <f>T$40*T8/T$12</f>
        <v>40.480388636751776</v>
      </c>
      <c r="U36" s="91" t="s">
        <v>266</v>
      </c>
      <c r="V36" s="106">
        <f>V$40*V8/V$12</f>
        <v>0</v>
      </c>
      <c r="W36" s="126" t="s">
        <v>428</v>
      </c>
      <c r="X36" s="106">
        <f>IF($X$40&gt;0,$X$40*X8/X$12,0)</f>
        <v>7.2293365674030907</v>
      </c>
      <c r="Y36" s="107" t="s">
        <v>335</v>
      </c>
      <c r="Z36" s="62">
        <f t="shared" si="2"/>
        <v>63.441985704390824</v>
      </c>
    </row>
    <row r="37" spans="6:27">
      <c r="F37" s="22" t="s">
        <v>193</v>
      </c>
      <c r="G37" s="22"/>
      <c r="H37" s="2">
        <f>IF(AND($C$3="戸建て",$C$13="床下断熱"),1,0)</f>
        <v>0</v>
      </c>
      <c r="O37" s="87"/>
      <c r="P37" s="4" t="s">
        <v>274</v>
      </c>
      <c r="Q37" s="91" t="s">
        <v>259</v>
      </c>
      <c r="R37" s="44">
        <f>R$40*R9/R$12</f>
        <v>19.04256724870222</v>
      </c>
      <c r="S37" s="91" t="s">
        <v>263</v>
      </c>
      <c r="T37" s="44">
        <f>T$40*T9/T$12</f>
        <v>12.091544657731051</v>
      </c>
      <c r="U37" s="91" t="s">
        <v>267</v>
      </c>
      <c r="V37" s="106">
        <f>V$40*V9/V$12</f>
        <v>5.2843329825238747</v>
      </c>
      <c r="W37" s="126" t="s">
        <v>429</v>
      </c>
      <c r="X37" s="106">
        <f>IF($X$40&gt;0,$H$16*X9/X$12,0)</f>
        <v>8.1485305639457497</v>
      </c>
      <c r="Y37" s="107" t="s">
        <v>336</v>
      </c>
      <c r="Z37" s="62">
        <f t="shared" si="2"/>
        <v>44.566975452902888</v>
      </c>
    </row>
    <row r="38" spans="6:27">
      <c r="O38" s="87"/>
      <c r="P38" s="4" t="s">
        <v>275</v>
      </c>
      <c r="Q38" s="91" t="s">
        <v>260</v>
      </c>
      <c r="R38" s="44">
        <f>R$40*R10/R$12</f>
        <v>5.6684851344974048</v>
      </c>
      <c r="S38" s="91" t="s">
        <v>264</v>
      </c>
      <c r="T38" s="44">
        <f>T$40*T10/T$12</f>
        <v>9.3661049579907569</v>
      </c>
      <c r="U38" s="91" t="s">
        <v>268</v>
      </c>
      <c r="V38" s="106">
        <f>V$40*V10/V$12</f>
        <v>47.365076366291973</v>
      </c>
      <c r="W38" s="126" t="s">
        <v>430</v>
      </c>
      <c r="X38" s="106">
        <f>IF($X$40&gt;0,$H$16*X10/X$12,0)</f>
        <v>7.2293365674030907</v>
      </c>
      <c r="Y38" s="107" t="s">
        <v>337</v>
      </c>
      <c r="Z38" s="62">
        <f t="shared" si="2"/>
        <v>69.629003026183227</v>
      </c>
    </row>
    <row r="39" spans="6:27">
      <c r="O39" s="87"/>
      <c r="P39" s="4" t="s">
        <v>276</v>
      </c>
      <c r="Q39" s="91" t="s">
        <v>261</v>
      </c>
      <c r="R39" s="44">
        <f>$H$13*R11/R$12</f>
        <v>0</v>
      </c>
      <c r="S39" s="91" t="s">
        <v>265</v>
      </c>
      <c r="T39" s="44">
        <f>T40*T11/T12</f>
        <v>24.183089315462102</v>
      </c>
      <c r="U39" s="91" t="s">
        <v>269</v>
      </c>
      <c r="V39" s="106">
        <f>$H$15*V11/V$12</f>
        <v>15.998439304888793</v>
      </c>
      <c r="W39" s="126" t="s">
        <v>431</v>
      </c>
      <c r="X39" s="106">
        <f>IF($X$40&gt;0,$H$16*X11/X$12,0)</f>
        <v>8.1485305639457497</v>
      </c>
      <c r="Y39" s="107" t="s">
        <v>338</v>
      </c>
      <c r="Z39" s="62">
        <f t="shared" si="2"/>
        <v>48.330059184296644</v>
      </c>
    </row>
    <row r="40" spans="6:27">
      <c r="F40" s="7" t="s">
        <v>110</v>
      </c>
      <c r="O40" s="87"/>
      <c r="P40" s="111" t="s">
        <v>277</v>
      </c>
      <c r="Q40" s="109" t="s">
        <v>252</v>
      </c>
      <c r="R40" s="20">
        <f>MAX($C$9*R13/$Z$13-R35,0)</f>
        <v>40.443312883435588</v>
      </c>
      <c r="S40" s="109" t="s">
        <v>256</v>
      </c>
      <c r="T40" s="20">
        <f>MAX($C$9*T13/$Z$13-T35,0)</f>
        <v>86.121127567935687</v>
      </c>
      <c r="U40" s="109" t="s">
        <v>257</v>
      </c>
      <c r="V40" s="20">
        <f>MAX($C$9*V13/$Z$13-V35,0)</f>
        <v>68.647848653704642</v>
      </c>
      <c r="W40" s="112" t="s">
        <v>432</v>
      </c>
      <c r="X40" s="20">
        <f>MAX($C$9*X13/$Z$13-X35,0)</f>
        <v>30.755734262697679</v>
      </c>
      <c r="Y40" s="112" t="s">
        <v>339</v>
      </c>
      <c r="Z40" s="110">
        <f t="shared" si="2"/>
        <v>225.96802336777358</v>
      </c>
    </row>
    <row r="41" spans="6:27">
      <c r="H41" t="s">
        <v>197</v>
      </c>
      <c r="I41" t="s">
        <v>198</v>
      </c>
      <c r="J41" t="s">
        <v>199</v>
      </c>
      <c r="K41" t="s">
        <v>202</v>
      </c>
      <c r="O41" s="88"/>
      <c r="P41" s="74" t="s">
        <v>96</v>
      </c>
      <c r="Q41" s="109" t="s">
        <v>326</v>
      </c>
      <c r="R41" s="113">
        <f>R35+R40</f>
        <v>40.443312883435588</v>
      </c>
      <c r="S41" s="109" t="s">
        <v>327</v>
      </c>
      <c r="T41" s="113">
        <f>T35+T40</f>
        <v>107.43550731477113</v>
      </c>
      <c r="U41" s="109" t="s">
        <v>328</v>
      </c>
      <c r="V41" s="113">
        <f>V35+V40</f>
        <v>81.971609249646065</v>
      </c>
      <c r="W41" s="112" t="s">
        <v>433</v>
      </c>
      <c r="X41" s="113">
        <f>X35+X40</f>
        <v>75.129570552147257</v>
      </c>
      <c r="Y41" s="109" t="s">
        <v>445</v>
      </c>
      <c r="Z41" s="110">
        <f t="shared" si="2"/>
        <v>304.98</v>
      </c>
      <c r="AA41" s="138" t="s">
        <v>527</v>
      </c>
    </row>
    <row r="42" spans="6:27">
      <c r="F42" s="188" t="s">
        <v>117</v>
      </c>
      <c r="G42" s="189"/>
      <c r="H42" s="46" t="s">
        <v>47</v>
      </c>
      <c r="I42" s="23" t="s">
        <v>79</v>
      </c>
      <c r="J42" s="23" t="s">
        <v>78</v>
      </c>
      <c r="K42" s="23" t="s">
        <v>201</v>
      </c>
      <c r="L42" s="47"/>
      <c r="M42" s="47"/>
    </row>
    <row r="43" spans="6:27">
      <c r="F43" s="89" t="s">
        <v>11</v>
      </c>
      <c r="G43" s="4" t="s">
        <v>6</v>
      </c>
      <c r="H43" s="49">
        <f>R78</f>
        <v>14.588394718389289</v>
      </c>
      <c r="I43" s="49">
        <f>T78</f>
        <v>17.173945943694591</v>
      </c>
      <c r="J43" s="49">
        <f>V78</f>
        <v>0</v>
      </c>
      <c r="K43" s="140"/>
      <c r="L43" s="47"/>
      <c r="M43" s="47"/>
    </row>
    <row r="44" spans="6:27">
      <c r="F44" s="17"/>
      <c r="G44" s="4" t="s">
        <v>7</v>
      </c>
      <c r="H44" s="49">
        <f t="shared" ref="H44:H46" si="3">R79</f>
        <v>6.5794921424435824</v>
      </c>
      <c r="I44" s="49">
        <f t="shared" ref="I44:I46" si="4">T79</f>
        <v>1.3873689501638227</v>
      </c>
      <c r="J44" s="49">
        <f t="shared" ref="J44:J46" si="5">V79</f>
        <v>0</v>
      </c>
      <c r="K44" s="140"/>
      <c r="L44" s="47"/>
      <c r="M44" s="47"/>
      <c r="V44" t="s">
        <v>255</v>
      </c>
      <c r="W44">
        <f>C9</f>
        <v>304.98</v>
      </c>
    </row>
    <row r="45" spans="6:27">
      <c r="F45" s="17"/>
      <c r="G45" s="4" t="s">
        <v>8</v>
      </c>
      <c r="H45" s="49">
        <f t="shared" si="3"/>
        <v>0</v>
      </c>
      <c r="I45" s="49">
        <f>T80</f>
        <v>9.3661049579907569</v>
      </c>
      <c r="J45" s="49">
        <f t="shared" si="5"/>
        <v>6.6215336257818809</v>
      </c>
      <c r="K45" s="125"/>
      <c r="V45" t="s">
        <v>288</v>
      </c>
      <c r="W45" s="67">
        <f>H24</f>
        <v>1</v>
      </c>
    </row>
    <row r="46" spans="6:27">
      <c r="F46" s="90"/>
      <c r="G46" s="4" t="s">
        <v>9</v>
      </c>
      <c r="H46" s="49">
        <f t="shared" si="3"/>
        <v>0</v>
      </c>
      <c r="I46" s="49">
        <f t="shared" si="4"/>
        <v>2.081053425245734</v>
      </c>
      <c r="J46" s="49">
        <f t="shared" si="5"/>
        <v>2.2702401002680737</v>
      </c>
      <c r="K46" s="140"/>
      <c r="V46" t="s">
        <v>289</v>
      </c>
      <c r="W46" s="67">
        <f>H25</f>
        <v>304.98</v>
      </c>
    </row>
    <row r="47" spans="6:27">
      <c r="F47" s="89" t="s">
        <v>12</v>
      </c>
      <c r="G47" s="4" t="s">
        <v>8</v>
      </c>
      <c r="H47" s="49">
        <f>R83</f>
        <v>3.4053601504021107</v>
      </c>
      <c r="I47" s="49">
        <f>T83</f>
        <v>0</v>
      </c>
      <c r="J47" s="49">
        <f>V83</f>
        <v>0</v>
      </c>
      <c r="K47" s="125"/>
      <c r="L47" s="47"/>
      <c r="M47" s="47"/>
    </row>
    <row r="48" spans="6:27">
      <c r="F48" s="90"/>
      <c r="G48" s="4" t="s">
        <v>9</v>
      </c>
      <c r="H48" s="49">
        <f>R84</f>
        <v>0</v>
      </c>
      <c r="I48" s="49">
        <f>T84</f>
        <v>0</v>
      </c>
      <c r="J48" s="49">
        <f>V84</f>
        <v>3.9729201754691283</v>
      </c>
      <c r="K48" s="140"/>
      <c r="L48" s="47"/>
      <c r="M48" s="47"/>
    </row>
    <row r="49" spans="6:27">
      <c r="F49" s="86" t="s">
        <v>528</v>
      </c>
      <c r="G49" s="4" t="s">
        <v>552</v>
      </c>
      <c r="H49" s="49">
        <f>R51</f>
        <v>0</v>
      </c>
      <c r="I49" s="49">
        <f>T51</f>
        <v>21.314379746835442</v>
      </c>
      <c r="J49" s="49">
        <f>V51</f>
        <v>13.32376059594143</v>
      </c>
      <c r="K49" s="140"/>
      <c r="O49" t="s">
        <v>440</v>
      </c>
    </row>
    <row r="50" spans="6:27" ht="18.5" thickBot="1">
      <c r="F50" s="87"/>
      <c r="G50" s="4" t="s">
        <v>6</v>
      </c>
      <c r="H50" s="49">
        <f>R87</f>
        <v>1.1438657818466744</v>
      </c>
      <c r="I50" s="49">
        <f>T87</f>
        <v>23.306442693057186</v>
      </c>
      <c r="J50" s="49">
        <f>V87</f>
        <v>0</v>
      </c>
      <c r="K50" s="48">
        <f>X54</f>
        <v>7.2293365674030907</v>
      </c>
      <c r="O50" s="139" t="s">
        <v>284</v>
      </c>
      <c r="P50" s="155"/>
      <c r="Q50" s="69" t="s">
        <v>47</v>
      </c>
      <c r="R50" s="23"/>
      <c r="S50" s="69" t="s">
        <v>79</v>
      </c>
      <c r="T50" s="23"/>
      <c r="U50" s="69" t="s">
        <v>78</v>
      </c>
      <c r="V50" s="23"/>
      <c r="W50" s="69" t="s">
        <v>201</v>
      </c>
      <c r="X50" s="23"/>
      <c r="Y50" s="68" t="s">
        <v>96</v>
      </c>
      <c r="Z50" s="45"/>
    </row>
    <row r="51" spans="6:27">
      <c r="F51" s="87"/>
      <c r="G51" s="4" t="s">
        <v>7</v>
      </c>
      <c r="H51" s="49">
        <f t="shared" ref="H51:H53" si="6">R88</f>
        <v>12.463075106258637</v>
      </c>
      <c r="I51" s="49">
        <f t="shared" ref="I51:I53" si="7">T88</f>
        <v>10.704175707567227</v>
      </c>
      <c r="J51" s="49">
        <f t="shared" ref="J51:J53" si="8">V88</f>
        <v>5.2843329825238747</v>
      </c>
      <c r="K51" s="48">
        <f t="shared" ref="K51:K53" si="9">X55</f>
        <v>8.1485305639457497</v>
      </c>
      <c r="O51" s="156" t="s">
        <v>466</v>
      </c>
      <c r="P51" s="147" t="s">
        <v>324</v>
      </c>
      <c r="Q51" s="142" t="s">
        <v>340</v>
      </c>
      <c r="R51" s="44">
        <f>IF($C$3="戸建て",R33,R33*$H$26)</f>
        <v>0</v>
      </c>
      <c r="S51" s="93" t="s">
        <v>346</v>
      </c>
      <c r="T51" s="44">
        <f>IF($C$3="戸建て",T33,T33*$H$26)</f>
        <v>21.314379746835442</v>
      </c>
      <c r="U51" s="93" t="s">
        <v>352</v>
      </c>
      <c r="V51" s="44">
        <f>IF($C$3="戸建て",V33,V33*$H$26)</f>
        <v>13.32376059594143</v>
      </c>
      <c r="W51" s="107" t="s">
        <v>434</v>
      </c>
      <c r="X51" s="2">
        <v>0</v>
      </c>
      <c r="Y51" s="107" t="s">
        <v>375</v>
      </c>
      <c r="Z51" s="133">
        <f t="shared" ref="Z51:Z69" si="10">R51+T51+V51+X51</f>
        <v>34.638140342776872</v>
      </c>
    </row>
    <row r="52" spans="6:27">
      <c r="F52" s="87"/>
      <c r="G52" s="4" t="s">
        <v>8</v>
      </c>
      <c r="H52" s="49">
        <f t="shared" si="6"/>
        <v>2.2631249840952941</v>
      </c>
      <c r="I52" s="49">
        <f t="shared" si="7"/>
        <v>0</v>
      </c>
      <c r="J52" s="49">
        <f t="shared" si="8"/>
        <v>40.743542740510094</v>
      </c>
      <c r="K52" s="48">
        <f t="shared" si="9"/>
        <v>7.2293365674030907</v>
      </c>
      <c r="L52" s="47"/>
      <c r="M52" s="47"/>
      <c r="O52" s="157"/>
      <c r="P52" s="149" t="s">
        <v>325</v>
      </c>
      <c r="Q52" s="142" t="s">
        <v>345</v>
      </c>
      <c r="R52" s="44">
        <f>R34*$H$37</f>
        <v>0</v>
      </c>
      <c r="S52" s="93" t="s">
        <v>351</v>
      </c>
      <c r="T52" s="44">
        <f>T34*$H$37</f>
        <v>0</v>
      </c>
      <c r="U52" s="93" t="s">
        <v>357</v>
      </c>
      <c r="V52" s="44">
        <f>V34*$H$37</f>
        <v>0</v>
      </c>
      <c r="W52" s="107" t="s">
        <v>447</v>
      </c>
      <c r="X52" s="2">
        <f>X34</f>
        <v>44.373836289449578</v>
      </c>
      <c r="Y52" s="107" t="s">
        <v>380</v>
      </c>
      <c r="Z52" s="133">
        <f t="shared" si="10"/>
        <v>44.373836289449578</v>
      </c>
    </row>
    <row r="53" spans="6:27">
      <c r="F53" s="87"/>
      <c r="G53" s="4" t="s">
        <v>9</v>
      </c>
      <c r="H53" s="49">
        <f t="shared" si="6"/>
        <v>0</v>
      </c>
      <c r="I53" s="49">
        <f t="shared" si="7"/>
        <v>22.102035890216367</v>
      </c>
      <c r="J53" s="49">
        <f t="shared" si="8"/>
        <v>9.7552790291515912</v>
      </c>
      <c r="K53" s="48">
        <f t="shared" si="9"/>
        <v>8.1485305639457497</v>
      </c>
      <c r="L53" s="47"/>
      <c r="M53" s="47"/>
      <c r="O53" s="157"/>
      <c r="P53" s="159" t="s">
        <v>323</v>
      </c>
      <c r="Q53" s="143" t="s">
        <v>387</v>
      </c>
      <c r="R53" s="113">
        <f>SUM(R51:R52)</f>
        <v>0</v>
      </c>
      <c r="S53" s="109" t="s">
        <v>388</v>
      </c>
      <c r="T53" s="113">
        <f>SUM(T51:T52)</f>
        <v>21.314379746835442</v>
      </c>
      <c r="U53" s="109" t="s">
        <v>389</v>
      </c>
      <c r="V53" s="113">
        <f>SUM(V51:V52)</f>
        <v>13.32376059594143</v>
      </c>
      <c r="W53" s="112" t="s">
        <v>636</v>
      </c>
      <c r="X53">
        <f>SUM(X51:X52)</f>
        <v>44.373836289449578</v>
      </c>
      <c r="Y53" s="112" t="s">
        <v>396</v>
      </c>
      <c r="Z53" s="133">
        <f t="shared" si="10"/>
        <v>79.01197663222645</v>
      </c>
    </row>
    <row r="54" spans="6:27">
      <c r="F54" s="88"/>
      <c r="G54" s="17" t="s">
        <v>553</v>
      </c>
      <c r="H54" s="48">
        <f>R52</f>
        <v>0</v>
      </c>
      <c r="I54" s="48">
        <f>T52</f>
        <v>0</v>
      </c>
      <c r="J54" s="48">
        <f>V52</f>
        <v>0</v>
      </c>
      <c r="K54" s="48">
        <f>X52</f>
        <v>44.373836289449578</v>
      </c>
      <c r="L54" s="47"/>
      <c r="M54" s="47"/>
      <c r="O54" s="157"/>
      <c r="P54" s="149" t="s">
        <v>273</v>
      </c>
      <c r="Q54" s="142" t="s">
        <v>341</v>
      </c>
      <c r="R54" s="44">
        <f>R36</f>
        <v>15.732260500235963</v>
      </c>
      <c r="S54" s="93" t="s">
        <v>347</v>
      </c>
      <c r="T54" s="44">
        <f>T36</f>
        <v>40.480388636751776</v>
      </c>
      <c r="U54" s="93" t="s">
        <v>353</v>
      </c>
      <c r="V54" s="44">
        <f>V36</f>
        <v>0</v>
      </c>
      <c r="W54" s="107" t="s">
        <v>449</v>
      </c>
      <c r="X54" s="44">
        <f>X36</f>
        <v>7.2293365674030907</v>
      </c>
      <c r="Y54" s="107" t="s">
        <v>376</v>
      </c>
      <c r="Z54" s="133">
        <f t="shared" si="10"/>
        <v>63.441985704390824</v>
      </c>
    </row>
    <row r="55" spans="6:27">
      <c r="F55" s="86" t="s">
        <v>557</v>
      </c>
      <c r="G55" s="4" t="s">
        <v>554</v>
      </c>
      <c r="H55" s="48">
        <f>R60</f>
        <v>0</v>
      </c>
      <c r="I55" s="48">
        <f>T60</f>
        <v>0</v>
      </c>
      <c r="J55" s="48">
        <f>V60</f>
        <v>0</v>
      </c>
      <c r="K55" s="140"/>
      <c r="L55" s="47"/>
      <c r="M55" s="47"/>
      <c r="O55" s="157"/>
      <c r="P55" s="149" t="s">
        <v>274</v>
      </c>
      <c r="Q55" s="142" t="s">
        <v>342</v>
      </c>
      <c r="R55" s="44">
        <f>IF($C$3="戸建て",R37,R37*$H$26)</f>
        <v>19.04256724870222</v>
      </c>
      <c r="S55" s="93" t="s">
        <v>348</v>
      </c>
      <c r="T55" s="44">
        <f>IF($C$3="戸建て",T37,T37*$H$26)</f>
        <v>12.091544657731051</v>
      </c>
      <c r="U55" s="93" t="s">
        <v>354</v>
      </c>
      <c r="V55" s="44">
        <f>IF($C$3="戸建て",V37,V37*$H$26)</f>
        <v>5.2843329825238747</v>
      </c>
      <c r="W55" s="107" t="s">
        <v>450</v>
      </c>
      <c r="X55" s="44">
        <f>X37</f>
        <v>8.1485305639457497</v>
      </c>
      <c r="Y55" s="107" t="s">
        <v>377</v>
      </c>
      <c r="Z55" s="133">
        <f t="shared" si="10"/>
        <v>44.566975452902888</v>
      </c>
    </row>
    <row r="56" spans="6:27">
      <c r="F56" s="87"/>
      <c r="G56" s="4" t="s">
        <v>6</v>
      </c>
      <c r="H56" s="48">
        <f>R63</f>
        <v>0</v>
      </c>
      <c r="I56" s="48">
        <f>T63</f>
        <v>0</v>
      </c>
      <c r="J56" s="48">
        <f>V63</f>
        <v>0</v>
      </c>
      <c r="K56" s="140"/>
      <c r="O56" s="157"/>
      <c r="P56" s="149" t="s">
        <v>275</v>
      </c>
      <c r="Q56" s="142" t="s">
        <v>343</v>
      </c>
      <c r="R56" s="44">
        <f>R38</f>
        <v>5.6684851344974048</v>
      </c>
      <c r="S56" s="93" t="s">
        <v>349</v>
      </c>
      <c r="T56" s="44">
        <f>T38</f>
        <v>9.3661049579907569</v>
      </c>
      <c r="U56" s="93" t="s">
        <v>355</v>
      </c>
      <c r="V56" s="44">
        <f>V38</f>
        <v>47.365076366291973</v>
      </c>
      <c r="W56" s="107" t="s">
        <v>451</v>
      </c>
      <c r="X56" s="44">
        <f>X38</f>
        <v>7.2293365674030907</v>
      </c>
      <c r="Y56" s="107" t="s">
        <v>378</v>
      </c>
      <c r="Z56" s="133">
        <f t="shared" si="10"/>
        <v>69.629003026183227</v>
      </c>
    </row>
    <row r="57" spans="6:27">
      <c r="F57" s="87"/>
      <c r="G57" s="4" t="s">
        <v>7</v>
      </c>
      <c r="H57" s="48">
        <f>R64</f>
        <v>0</v>
      </c>
      <c r="I57" s="48">
        <f>T64</f>
        <v>0</v>
      </c>
      <c r="J57" s="48">
        <f>V64</f>
        <v>0</v>
      </c>
      <c r="K57" s="140"/>
      <c r="O57" s="157"/>
      <c r="P57" s="149" t="s">
        <v>276</v>
      </c>
      <c r="Q57" s="142" t="s">
        <v>344</v>
      </c>
      <c r="R57" s="44">
        <f>IF($C$3="戸建て",R39,R39*$H$26)</f>
        <v>0</v>
      </c>
      <c r="S57" s="93" t="s">
        <v>350</v>
      </c>
      <c r="T57" s="44">
        <f>IF($C$3="戸建て",T39,T39*$H$26)</f>
        <v>24.183089315462102</v>
      </c>
      <c r="U57" s="93" t="s">
        <v>356</v>
      </c>
      <c r="V57" s="44">
        <f>IF($C$3="戸建て",V39,V39*$H$26)</f>
        <v>15.998439304888793</v>
      </c>
      <c r="W57" s="107" t="s">
        <v>452</v>
      </c>
      <c r="X57" s="44">
        <f>X39</f>
        <v>8.1485305639457497</v>
      </c>
      <c r="Y57" s="107" t="s">
        <v>379</v>
      </c>
      <c r="Z57" s="133">
        <f t="shared" si="10"/>
        <v>48.330059184296644</v>
      </c>
    </row>
    <row r="58" spans="6:27" ht="18.75" customHeight="1">
      <c r="F58" s="87"/>
      <c r="G58" s="4" t="s">
        <v>8</v>
      </c>
      <c r="H58" s="48">
        <f>R65</f>
        <v>0</v>
      </c>
      <c r="I58" s="48">
        <f>T65</f>
        <v>0</v>
      </c>
      <c r="J58" s="48">
        <f>V65</f>
        <v>0</v>
      </c>
      <c r="K58" s="140"/>
      <c r="O58" s="157"/>
      <c r="P58" s="159" t="s">
        <v>277</v>
      </c>
      <c r="Q58" s="143" t="s">
        <v>390</v>
      </c>
      <c r="R58" s="113">
        <f>SUM(R54:R57)</f>
        <v>40.443312883435581</v>
      </c>
      <c r="S58" s="109" t="s">
        <v>391</v>
      </c>
      <c r="T58" s="113">
        <f>SUM(T54:T57)</f>
        <v>86.121127567935687</v>
      </c>
      <c r="U58" s="109" t="s">
        <v>392</v>
      </c>
      <c r="V58" s="113">
        <f>SUM(V54:V57)</f>
        <v>68.647848653704642</v>
      </c>
      <c r="W58" s="112" t="s">
        <v>453</v>
      </c>
      <c r="X58" s="113">
        <f>SUM(X54:X57)</f>
        <v>30.755734262697679</v>
      </c>
      <c r="Y58" s="109" t="s">
        <v>397</v>
      </c>
      <c r="Z58" s="133">
        <f t="shared" si="10"/>
        <v>225.96802336777358</v>
      </c>
    </row>
    <row r="59" spans="6:27" ht="18.5" thickBot="1">
      <c r="F59" s="87"/>
      <c r="G59" s="4" t="s">
        <v>9</v>
      </c>
      <c r="H59" s="48">
        <f>R66</f>
        <v>0</v>
      </c>
      <c r="I59" s="48">
        <f>T66</f>
        <v>0</v>
      </c>
      <c r="J59" s="48">
        <f>V66</f>
        <v>0</v>
      </c>
      <c r="K59" s="140"/>
      <c r="O59" s="158"/>
      <c r="P59" s="160" t="s">
        <v>96</v>
      </c>
      <c r="Q59" s="143" t="s">
        <v>393</v>
      </c>
      <c r="R59" s="113">
        <f>R53+R58</f>
        <v>40.443312883435581</v>
      </c>
      <c r="S59" s="109" t="s">
        <v>394</v>
      </c>
      <c r="T59" s="113">
        <f>T53+T58</f>
        <v>107.43550731477113</v>
      </c>
      <c r="U59" s="109" t="s">
        <v>395</v>
      </c>
      <c r="V59" s="113">
        <f>V53+V58</f>
        <v>81.971609249646065</v>
      </c>
      <c r="W59" s="112" t="s">
        <v>448</v>
      </c>
      <c r="X59" s="113">
        <f>X53+X58</f>
        <v>75.129570552147257</v>
      </c>
      <c r="Y59" s="112" t="s">
        <v>446</v>
      </c>
      <c r="Z59" s="133">
        <f t="shared" si="10"/>
        <v>304.98</v>
      </c>
      <c r="AA59" s="138" t="s">
        <v>527</v>
      </c>
    </row>
    <row r="60" spans="6:27">
      <c r="F60" s="88"/>
      <c r="G60" s="4" t="s">
        <v>24</v>
      </c>
      <c r="H60" s="48">
        <f>R61</f>
        <v>0</v>
      </c>
      <c r="I60" s="48">
        <f>T61</f>
        <v>0</v>
      </c>
      <c r="J60" s="48">
        <f>V61</f>
        <v>0</v>
      </c>
      <c r="K60" s="140"/>
      <c r="O60" s="87" t="s">
        <v>467</v>
      </c>
      <c r="P60" s="90" t="s">
        <v>303</v>
      </c>
      <c r="Q60" s="93" t="s">
        <v>358</v>
      </c>
      <c r="R60" s="62">
        <f>R33-R51</f>
        <v>0</v>
      </c>
      <c r="S60" s="93" t="s">
        <v>363</v>
      </c>
      <c r="T60" s="62">
        <f>T33-T51</f>
        <v>0</v>
      </c>
      <c r="U60" s="93" t="s">
        <v>369</v>
      </c>
      <c r="V60" s="62">
        <f>V33-V51</f>
        <v>0</v>
      </c>
      <c r="W60" s="130" t="s">
        <v>454</v>
      </c>
      <c r="X60" s="62">
        <f>X33-X51</f>
        <v>0</v>
      </c>
      <c r="Y60" s="107" t="s">
        <v>381</v>
      </c>
      <c r="Z60" s="133">
        <f t="shared" si="10"/>
        <v>0</v>
      </c>
      <c r="AA60" s="7"/>
    </row>
    <row r="61" spans="6:27">
      <c r="O61" s="87"/>
      <c r="P61" s="4" t="s">
        <v>302</v>
      </c>
      <c r="Q61" s="93" t="s">
        <v>399</v>
      </c>
      <c r="R61" s="62">
        <f>R34-R52</f>
        <v>0</v>
      </c>
      <c r="S61" s="93" t="s">
        <v>368</v>
      </c>
      <c r="T61" s="62">
        <f>T34-T52</f>
        <v>0</v>
      </c>
      <c r="U61" s="93" t="s">
        <v>374</v>
      </c>
      <c r="V61" s="62">
        <f>V34-V52</f>
        <v>0</v>
      </c>
      <c r="W61" s="130" t="s">
        <v>457</v>
      </c>
      <c r="X61" s="62">
        <f>X34-X52</f>
        <v>0</v>
      </c>
      <c r="Y61" s="107" t="s">
        <v>386</v>
      </c>
      <c r="Z61" s="133">
        <f t="shared" si="10"/>
        <v>0</v>
      </c>
      <c r="AA61" s="7"/>
    </row>
    <row r="62" spans="6:27">
      <c r="O62" s="87"/>
      <c r="P62" s="74" t="s">
        <v>323</v>
      </c>
      <c r="Q62" s="109" t="s">
        <v>398</v>
      </c>
      <c r="R62" s="113">
        <f>SUM(R60:R61)</f>
        <v>0</v>
      </c>
      <c r="S62" s="109" t="s">
        <v>407</v>
      </c>
      <c r="T62" s="113">
        <f>SUM(T60:T61)</f>
        <v>0</v>
      </c>
      <c r="U62" s="109" t="s">
        <v>408</v>
      </c>
      <c r="V62" s="113">
        <f>SUM(V60:V61)</f>
        <v>0</v>
      </c>
      <c r="W62" s="112" t="s">
        <v>458</v>
      </c>
      <c r="X62" s="113">
        <f>SUM(X60:X61)</f>
        <v>0</v>
      </c>
      <c r="Y62" s="112" t="s">
        <v>465</v>
      </c>
      <c r="Z62" s="132">
        <f t="shared" si="10"/>
        <v>0</v>
      </c>
      <c r="AA62" s="7"/>
    </row>
    <row r="63" spans="6:27">
      <c r="O63" s="87"/>
      <c r="P63" s="4" t="s">
        <v>6</v>
      </c>
      <c r="Q63" s="93" t="s">
        <v>359</v>
      </c>
      <c r="R63" s="44">
        <f>R36-R54</f>
        <v>0</v>
      </c>
      <c r="S63" s="93" t="s">
        <v>364</v>
      </c>
      <c r="T63" s="44">
        <f>T36-T54</f>
        <v>0</v>
      </c>
      <c r="U63" s="93" t="s">
        <v>370</v>
      </c>
      <c r="V63" s="44">
        <f>V36-V54</f>
        <v>0</v>
      </c>
      <c r="W63" s="107" t="s">
        <v>459</v>
      </c>
      <c r="X63" s="44">
        <f>X36-X54</f>
        <v>0</v>
      </c>
      <c r="Y63" s="107" t="s">
        <v>382</v>
      </c>
      <c r="Z63" s="133">
        <f t="shared" si="10"/>
        <v>0</v>
      </c>
      <c r="AA63" s="7"/>
    </row>
    <row r="64" spans="6:27">
      <c r="O64" s="87"/>
      <c r="P64" s="4" t="s">
        <v>7</v>
      </c>
      <c r="Q64" s="93" t="s">
        <v>360</v>
      </c>
      <c r="R64" s="44">
        <f>R37-R55</f>
        <v>0</v>
      </c>
      <c r="S64" s="93" t="s">
        <v>365</v>
      </c>
      <c r="T64" s="44">
        <f>T37-T55</f>
        <v>0</v>
      </c>
      <c r="U64" s="93" t="s">
        <v>371</v>
      </c>
      <c r="V64" s="44">
        <f>V37-V55</f>
        <v>0</v>
      </c>
      <c r="W64" s="107" t="s">
        <v>460</v>
      </c>
      <c r="X64" s="44">
        <f>X37-X55</f>
        <v>0</v>
      </c>
      <c r="Y64" s="107" t="s">
        <v>383</v>
      </c>
      <c r="Z64" s="133">
        <f t="shared" si="10"/>
        <v>0</v>
      </c>
      <c r="AA64" s="7"/>
    </row>
    <row r="65" spans="6:27">
      <c r="F65" s="64" t="s">
        <v>118</v>
      </c>
      <c r="G65" s="45"/>
      <c r="H65" s="46" t="s">
        <v>47</v>
      </c>
      <c r="I65" s="23" t="s">
        <v>79</v>
      </c>
      <c r="J65" s="23" t="s">
        <v>78</v>
      </c>
      <c r="K65" s="23" t="s">
        <v>201</v>
      </c>
      <c r="O65" s="87"/>
      <c r="P65" s="4" t="s">
        <v>8</v>
      </c>
      <c r="Q65" s="93" t="s">
        <v>361</v>
      </c>
      <c r="R65" s="44">
        <f>R38-R56</f>
        <v>0</v>
      </c>
      <c r="S65" s="93" t="s">
        <v>366</v>
      </c>
      <c r="T65" s="44">
        <f>T38-T56</f>
        <v>0</v>
      </c>
      <c r="U65" s="93" t="s">
        <v>372</v>
      </c>
      <c r="V65" s="44">
        <f>V38-V56</f>
        <v>0</v>
      </c>
      <c r="W65" s="107" t="s">
        <v>461</v>
      </c>
      <c r="X65" s="44">
        <f>X38-X56</f>
        <v>0</v>
      </c>
      <c r="Y65" s="107" t="s">
        <v>384</v>
      </c>
      <c r="Z65" s="133">
        <f t="shared" si="10"/>
        <v>0</v>
      </c>
      <c r="AA65" s="7"/>
    </row>
    <row r="66" spans="6:27">
      <c r="F66" s="190" t="s">
        <v>13</v>
      </c>
      <c r="G66" s="26" t="s">
        <v>80</v>
      </c>
      <c r="H66" s="19"/>
      <c r="I66" s="19"/>
      <c r="J66" s="19"/>
      <c r="K66" s="19"/>
      <c r="L66">
        <f>H70</f>
        <v>40.443312883435588</v>
      </c>
      <c r="M66">
        <f>H71</f>
        <v>36.53</v>
      </c>
      <c r="O66" s="87"/>
      <c r="P66" s="4" t="s">
        <v>9</v>
      </c>
      <c r="Q66" s="93" t="s">
        <v>362</v>
      </c>
      <c r="R66" s="44">
        <f>R39-R57</f>
        <v>0</v>
      </c>
      <c r="S66" s="93" t="s">
        <v>367</v>
      </c>
      <c r="T66" s="44">
        <f>T39-T57</f>
        <v>0</v>
      </c>
      <c r="U66" s="93" t="s">
        <v>373</v>
      </c>
      <c r="V66" s="44">
        <f>V39-V57</f>
        <v>0</v>
      </c>
      <c r="W66" s="107" t="s">
        <v>462</v>
      </c>
      <c r="X66" s="44">
        <f>X39-X57</f>
        <v>0</v>
      </c>
      <c r="Y66" s="107" t="s">
        <v>385</v>
      </c>
      <c r="Z66" s="133">
        <f t="shared" si="10"/>
        <v>0</v>
      </c>
      <c r="AA66" s="7"/>
    </row>
    <row r="67" spans="6:27">
      <c r="F67" s="190"/>
      <c r="G67" s="27" t="s">
        <v>77</v>
      </c>
      <c r="H67" s="49">
        <f>R27*($L67+H$70)/($M67+H$71)</f>
        <v>11.070224392588052</v>
      </c>
      <c r="I67" s="19"/>
      <c r="J67" s="5"/>
      <c r="K67" s="19"/>
      <c r="L67">
        <f>I70</f>
        <v>86.121127567935687</v>
      </c>
      <c r="M67">
        <f>I71</f>
        <v>62.25</v>
      </c>
      <c r="O67" s="87"/>
      <c r="P67" s="74" t="s">
        <v>277</v>
      </c>
      <c r="Q67" s="109" t="s">
        <v>400</v>
      </c>
      <c r="R67" s="113">
        <f>SUM(R63:R66)</f>
        <v>0</v>
      </c>
      <c r="S67" s="109" t="s">
        <v>405</v>
      </c>
      <c r="T67" s="113">
        <f>SUM(T63:T66)</f>
        <v>0</v>
      </c>
      <c r="U67" s="109" t="s">
        <v>406</v>
      </c>
      <c r="V67" s="113">
        <f>SUM(V63:V66)</f>
        <v>0</v>
      </c>
      <c r="W67" s="112" t="s">
        <v>463</v>
      </c>
      <c r="X67" s="113">
        <f>SUM(X63:X66)</f>
        <v>0</v>
      </c>
      <c r="Y67" s="112" t="s">
        <v>409</v>
      </c>
      <c r="Z67" s="132">
        <f t="shared" si="10"/>
        <v>0</v>
      </c>
      <c r="AA67" s="7"/>
    </row>
    <row r="68" spans="6:27">
      <c r="F68" s="190"/>
      <c r="G68" s="28" t="s">
        <v>78</v>
      </c>
      <c r="H68" s="71">
        <f>R28*($L68+H$70)/($M68+H$71)</f>
        <v>20.139186201983602</v>
      </c>
      <c r="I68" s="71">
        <f>T28*($L68+I$70)/($M68+I$71)</f>
        <v>38.415615176218409</v>
      </c>
      <c r="J68" s="72"/>
      <c r="K68" s="19"/>
      <c r="L68">
        <f>J70</f>
        <v>68.647848653704642</v>
      </c>
      <c r="M68">
        <f>J71</f>
        <v>56.64</v>
      </c>
      <c r="O68" s="87"/>
      <c r="P68" s="117" t="s">
        <v>96</v>
      </c>
      <c r="Q68" s="129" t="s">
        <v>401</v>
      </c>
      <c r="R68" s="118">
        <f>R62+R67</f>
        <v>0</v>
      </c>
      <c r="S68" s="129" t="s">
        <v>402</v>
      </c>
      <c r="T68" s="118">
        <f>T62+T67</f>
        <v>0</v>
      </c>
      <c r="U68" s="129" t="s">
        <v>403</v>
      </c>
      <c r="V68" s="118">
        <f>V62+V67</f>
        <v>0</v>
      </c>
      <c r="W68" s="131" t="s">
        <v>464</v>
      </c>
      <c r="X68" s="118">
        <f>X62+X67</f>
        <v>0</v>
      </c>
      <c r="Y68" s="131" t="s">
        <v>404</v>
      </c>
      <c r="Z68" s="132">
        <f t="shared" si="10"/>
        <v>0</v>
      </c>
      <c r="AA68" s="7"/>
    </row>
    <row r="69" spans="6:27">
      <c r="F69" s="190"/>
      <c r="G69" s="28" t="s">
        <v>201</v>
      </c>
      <c r="H69" s="71">
        <f>IF(AND($C$3="戸建て",$C$13="基礎断熱"),R29*($L69+H$70)/($M69+H$71),0)</f>
        <v>50.629786541454003</v>
      </c>
      <c r="I69" s="71">
        <f>IF(AND($C$3="戸建て",$C$13="基礎断熱"),S29*($L69+I$70)/($M69+I$71),0)</f>
        <v>0</v>
      </c>
      <c r="J69" s="71">
        <f>IF(AND($C$3="戸建て",$C$13="基礎断熱"),V29*($L69+J$70)/($M69+J$71),0)</f>
        <v>29.812433589822199</v>
      </c>
      <c r="K69" s="19"/>
      <c r="L69" s="67">
        <f>K70</f>
        <v>30.755734262697679</v>
      </c>
      <c r="M69">
        <f>K71</f>
        <v>12.379999999999999</v>
      </c>
      <c r="O69" s="116" t="s">
        <v>96</v>
      </c>
      <c r="P69" s="65"/>
      <c r="Q69" s="109" t="s">
        <v>441</v>
      </c>
      <c r="R69" s="113">
        <f>R59+R68</f>
        <v>40.443312883435581</v>
      </c>
      <c r="S69" s="109" t="s">
        <v>442</v>
      </c>
      <c r="T69" s="113">
        <f>T59+T68</f>
        <v>107.43550731477113</v>
      </c>
      <c r="U69" s="109" t="s">
        <v>443</v>
      </c>
      <c r="V69" s="113">
        <f>V59+V68</f>
        <v>81.971609249646065</v>
      </c>
      <c r="W69" s="109" t="s">
        <v>444</v>
      </c>
      <c r="X69" s="113">
        <f>X59+X68</f>
        <v>75.129570552147257</v>
      </c>
      <c r="Y69" s="109" t="s">
        <v>445</v>
      </c>
      <c r="Z69" s="110">
        <f t="shared" si="10"/>
        <v>304.98</v>
      </c>
      <c r="AA69" s="138" t="s">
        <v>527</v>
      </c>
    </row>
    <row r="70" spans="6:27">
      <c r="F70" s="25"/>
      <c r="G70" s="25"/>
      <c r="H70">
        <f>R40</f>
        <v>40.443312883435588</v>
      </c>
      <c r="I70">
        <f>T40</f>
        <v>86.121127567935687</v>
      </c>
      <c r="J70">
        <f>V40</f>
        <v>68.647848653704642</v>
      </c>
      <c r="K70" s="67">
        <f>X40</f>
        <v>30.755734262697679</v>
      </c>
      <c r="X70" s="47"/>
      <c r="Y70" s="47"/>
      <c r="Z70" s="47"/>
      <c r="AA70" s="67"/>
    </row>
    <row r="71" spans="6:27">
      <c r="H71">
        <f>R12</f>
        <v>36.53</v>
      </c>
      <c r="I71">
        <f>T12</f>
        <v>62.25</v>
      </c>
      <c r="J71">
        <f>V12</f>
        <v>56.64</v>
      </c>
      <c r="K71">
        <f>X12</f>
        <v>12.379999999999999</v>
      </c>
    </row>
    <row r="72" spans="6:27">
      <c r="V72" t="s">
        <v>293</v>
      </c>
      <c r="W72" s="67">
        <f>H33</f>
        <v>0.22207629896385836</v>
      </c>
    </row>
    <row r="73" spans="6:27">
      <c r="V73" t="s">
        <v>292</v>
      </c>
      <c r="W73" s="67">
        <f>H34</f>
        <v>67.728829657997522</v>
      </c>
    </row>
    <row r="74" spans="6:27">
      <c r="F74" s="179" t="s">
        <v>637</v>
      </c>
      <c r="G74" s="22" t="s">
        <v>622</v>
      </c>
      <c r="H74" s="179" t="s">
        <v>82</v>
      </c>
      <c r="J74" s="67"/>
      <c r="K74" s="67"/>
      <c r="L74" s="67"/>
      <c r="M74" s="67"/>
    </row>
    <row r="75" spans="6:27">
      <c r="F75" s="4" t="s">
        <v>107</v>
      </c>
      <c r="G75" s="93" t="s">
        <v>623</v>
      </c>
      <c r="H75" s="49">
        <f>AN109</f>
        <v>1.3046067226053448</v>
      </c>
      <c r="J75" s="67"/>
      <c r="K75" s="67"/>
      <c r="L75" s="67"/>
      <c r="M75" s="67"/>
    </row>
    <row r="76" spans="6:27">
      <c r="F76" s="4" t="s">
        <v>108</v>
      </c>
      <c r="G76" s="93" t="s">
        <v>624</v>
      </c>
      <c r="H76" s="49">
        <f>AN110</f>
        <v>0.60686289521921088</v>
      </c>
      <c r="J76" s="67"/>
      <c r="K76" s="67"/>
      <c r="L76" s="67"/>
      <c r="M76" s="67"/>
      <c r="O76" t="s">
        <v>468</v>
      </c>
    </row>
    <row r="77" spans="6:27" ht="18.5" thickBot="1">
      <c r="F77" s="4" t="s">
        <v>24</v>
      </c>
      <c r="G77" s="93" t="s">
        <v>625</v>
      </c>
      <c r="H77" s="48">
        <f>AN111</f>
        <v>0</v>
      </c>
      <c r="M77" s="67"/>
      <c r="O77" s="144" t="s">
        <v>526</v>
      </c>
      <c r="P77" s="145"/>
      <c r="Q77" s="69" t="s">
        <v>47</v>
      </c>
      <c r="R77" s="23"/>
      <c r="S77" s="69" t="s">
        <v>79</v>
      </c>
      <c r="T77" s="23"/>
      <c r="U77" s="69" t="s">
        <v>78</v>
      </c>
      <c r="V77" s="23"/>
      <c r="W77" s="68" t="s">
        <v>96</v>
      </c>
      <c r="X77" s="45"/>
    </row>
    <row r="78" spans="6:27">
      <c r="F78" s="4" t="s">
        <v>615</v>
      </c>
      <c r="G78" s="93" t="s">
        <v>619</v>
      </c>
      <c r="H78" s="48">
        <f>AN112</f>
        <v>1.1370441809038894</v>
      </c>
      <c r="J78" s="67"/>
      <c r="K78" s="67"/>
      <c r="L78" s="67"/>
      <c r="M78" s="67"/>
      <c r="O78" s="146" t="s">
        <v>11</v>
      </c>
      <c r="P78" s="147" t="s">
        <v>6</v>
      </c>
      <c r="Q78" s="142" t="s">
        <v>491</v>
      </c>
      <c r="R78" s="44">
        <f>MIN($H$34*R16/$X$24,R54)</f>
        <v>14.588394718389289</v>
      </c>
      <c r="S78" s="93" t="s">
        <v>500</v>
      </c>
      <c r="T78" s="44">
        <f>MIN($H$34*T16/$X$24,T54)</f>
        <v>17.173945943694591</v>
      </c>
      <c r="U78" s="93" t="s">
        <v>509</v>
      </c>
      <c r="V78" s="44">
        <f>MIN($H$34*V16/$X$24,V54)</f>
        <v>0</v>
      </c>
      <c r="W78" s="93" t="s">
        <v>518</v>
      </c>
      <c r="X78" s="44">
        <f t="shared" ref="X78:X92" si="11">R78+T78+V78</f>
        <v>31.762340662083879</v>
      </c>
    </row>
    <row r="79" spans="6:27">
      <c r="F79" s="4" t="s">
        <v>11</v>
      </c>
      <c r="G79" s="93" t="s">
        <v>574</v>
      </c>
      <c r="H79" s="49">
        <f>AN114</f>
        <v>3.6448303936068238</v>
      </c>
      <c r="J79" s="67"/>
      <c r="K79" s="67"/>
      <c r="L79" s="67"/>
      <c r="M79" s="67"/>
      <c r="O79" s="148"/>
      <c r="P79" s="149" t="s">
        <v>7</v>
      </c>
      <c r="Q79" s="142" t="s">
        <v>492</v>
      </c>
      <c r="R79" s="44">
        <f>MIN($H$34*R17/$X$24,R55)</f>
        <v>6.5794921424435824</v>
      </c>
      <c r="S79" s="93" t="s">
        <v>501</v>
      </c>
      <c r="T79" s="44">
        <f>MIN($H$34*T17/$X$24,T55)</f>
        <v>1.3873689501638227</v>
      </c>
      <c r="U79" s="93" t="s">
        <v>510</v>
      </c>
      <c r="V79" s="44">
        <f>MIN($H$34*V17/$X$24,V55)</f>
        <v>0</v>
      </c>
      <c r="W79" s="93" t="s">
        <v>519</v>
      </c>
      <c r="X79" s="44">
        <f t="shared" si="11"/>
        <v>7.966861092607405</v>
      </c>
    </row>
    <row r="80" spans="6:27">
      <c r="F80" s="4" t="s">
        <v>12</v>
      </c>
      <c r="G80" s="93" t="s">
        <v>575</v>
      </c>
      <c r="H80" s="49">
        <f>AN115</f>
        <v>6.8224151968034121</v>
      </c>
      <c r="O80" s="148"/>
      <c r="P80" s="149" t="s">
        <v>8</v>
      </c>
      <c r="Q80" s="142" t="s">
        <v>493</v>
      </c>
      <c r="R80" s="44">
        <f>MIN($H$34*R18/$X$24,R56)</f>
        <v>0</v>
      </c>
      <c r="S80" s="93" t="s">
        <v>502</v>
      </c>
      <c r="T80" s="44">
        <f>MIN($H$34*T18/$X$24,T56)</f>
        <v>9.3661049579907569</v>
      </c>
      <c r="U80" s="93" t="s">
        <v>511</v>
      </c>
      <c r="V80" s="44">
        <f>MIN($H$34*V18/$X$24,V56)</f>
        <v>6.6215336257818809</v>
      </c>
      <c r="W80" s="93" t="s">
        <v>520</v>
      </c>
      <c r="X80" s="44">
        <f t="shared" si="11"/>
        <v>15.987638583772638</v>
      </c>
    </row>
    <row r="81" spans="6:26">
      <c r="O81" s="148"/>
      <c r="P81" s="149" t="s">
        <v>9</v>
      </c>
      <c r="Q81" s="142" t="s">
        <v>494</v>
      </c>
      <c r="R81" s="44">
        <f>MIN($H$34*R19/$X$24,R57)</f>
        <v>0</v>
      </c>
      <c r="S81" s="93" t="s">
        <v>503</v>
      </c>
      <c r="T81" s="44">
        <f>MIN($H$34*T19/$X$24,T57)</f>
        <v>2.081053425245734</v>
      </c>
      <c r="U81" s="93" t="s">
        <v>512</v>
      </c>
      <c r="V81" s="44">
        <f>MIN($H$34*V19/$X$24,V57)</f>
        <v>2.2702401002680737</v>
      </c>
      <c r="W81" s="93" t="s">
        <v>521</v>
      </c>
      <c r="X81" s="44">
        <f t="shared" si="11"/>
        <v>4.3512935255138077</v>
      </c>
    </row>
    <row r="82" spans="6:26">
      <c r="O82" s="150"/>
      <c r="P82" s="151" t="s">
        <v>96</v>
      </c>
      <c r="Q82" s="143" t="s">
        <v>495</v>
      </c>
      <c r="R82" s="113">
        <f>SUM(R78:R81)</f>
        <v>21.167886860832873</v>
      </c>
      <c r="S82" s="109" t="s">
        <v>504</v>
      </c>
      <c r="T82" s="113">
        <f>SUM(T78:T81)</f>
        <v>30.008473277094904</v>
      </c>
      <c r="U82" s="109" t="s">
        <v>513</v>
      </c>
      <c r="V82" s="113">
        <f>SUM(V78:V81)</f>
        <v>8.891773726049955</v>
      </c>
      <c r="W82" s="109" t="s">
        <v>224</v>
      </c>
      <c r="X82" s="113">
        <f t="shared" si="11"/>
        <v>60.068133863977728</v>
      </c>
    </row>
    <row r="83" spans="6:26">
      <c r="F83" s="179" t="s">
        <v>637</v>
      </c>
      <c r="G83" s="22" t="s">
        <v>622</v>
      </c>
      <c r="H83" s="179" t="s">
        <v>642</v>
      </c>
      <c r="O83" s="152" t="s">
        <v>12</v>
      </c>
      <c r="P83" s="149" t="s">
        <v>8</v>
      </c>
      <c r="Q83" s="142" t="s">
        <v>496</v>
      </c>
      <c r="R83" s="44">
        <f>MIN($H$34*R21/$X$24,R56)</f>
        <v>3.4053601504021107</v>
      </c>
      <c r="S83" s="93" t="s">
        <v>505</v>
      </c>
      <c r="T83" s="44">
        <f>MIN($H$34*T21/$X$24,T56)</f>
        <v>0</v>
      </c>
      <c r="U83" s="93" t="s">
        <v>514</v>
      </c>
      <c r="V83" s="44">
        <f>MIN($H$34*V21/$X$24,V56)</f>
        <v>0</v>
      </c>
      <c r="W83" s="93" t="s">
        <v>522</v>
      </c>
      <c r="X83" s="44">
        <f t="shared" si="11"/>
        <v>3.4053601504021107</v>
      </c>
    </row>
    <row r="84" spans="6:26">
      <c r="F84" s="4" t="s">
        <v>107</v>
      </c>
      <c r="G84" s="93" t="s">
        <v>638</v>
      </c>
      <c r="H84" s="49">
        <f>AP109</f>
        <v>0.59351452324495557</v>
      </c>
      <c r="O84" s="148"/>
      <c r="P84" s="149" t="s">
        <v>9</v>
      </c>
      <c r="Q84" s="142" t="s">
        <v>497</v>
      </c>
      <c r="R84" s="44">
        <f>MIN($H$34*R22/$X$24,R57)</f>
        <v>0</v>
      </c>
      <c r="S84" s="93" t="s">
        <v>506</v>
      </c>
      <c r="T84" s="44">
        <f>MIN($H$34*T22/$X$24,T57)</f>
        <v>0</v>
      </c>
      <c r="U84" s="93" t="s">
        <v>515</v>
      </c>
      <c r="V84" s="44">
        <f>MIN($H$34*V22/$X$24,V57)</f>
        <v>3.9729201754691283</v>
      </c>
      <c r="W84" s="93" t="s">
        <v>523</v>
      </c>
      <c r="X84" s="44">
        <f t="shared" si="11"/>
        <v>3.9729201754691283</v>
      </c>
    </row>
    <row r="85" spans="6:26">
      <c r="F85" s="4" t="s">
        <v>108</v>
      </c>
      <c r="G85" s="93" t="s">
        <v>639</v>
      </c>
      <c r="H85" s="49">
        <f>AP110</f>
        <v>1.2018186553797794</v>
      </c>
      <c r="O85" s="150"/>
      <c r="P85" s="151" t="s">
        <v>96</v>
      </c>
      <c r="Q85" s="143" t="s">
        <v>498</v>
      </c>
      <c r="R85" s="113">
        <f>SUM(R83:R84)</f>
        <v>3.4053601504021107</v>
      </c>
      <c r="S85" s="109" t="s">
        <v>507</v>
      </c>
      <c r="T85" s="113">
        <f>SUM(T83:T84)</f>
        <v>0</v>
      </c>
      <c r="U85" s="109" t="s">
        <v>516</v>
      </c>
      <c r="V85" s="113">
        <f>SUM(V83:V84)</f>
        <v>3.9729201754691283</v>
      </c>
      <c r="W85" s="109" t="s">
        <v>524</v>
      </c>
      <c r="X85" s="113">
        <f t="shared" si="11"/>
        <v>7.3782803258712395</v>
      </c>
    </row>
    <row r="86" spans="6:26" ht="18.5" thickBot="1">
      <c r="F86" s="4" t="s">
        <v>24</v>
      </c>
      <c r="G86" s="93" t="s">
        <v>640</v>
      </c>
      <c r="H86" s="49">
        <f>AP111</f>
        <v>0</v>
      </c>
      <c r="O86" s="153" t="s">
        <v>471</v>
      </c>
      <c r="P86" s="154"/>
      <c r="Q86" s="143" t="s">
        <v>499</v>
      </c>
      <c r="R86" s="113">
        <f>R82+R85</f>
        <v>24.573247011234983</v>
      </c>
      <c r="S86" s="109" t="s">
        <v>508</v>
      </c>
      <c r="T86" s="113">
        <f>T82+T85</f>
        <v>30.008473277094904</v>
      </c>
      <c r="U86" s="109" t="s">
        <v>517</v>
      </c>
      <c r="V86" s="113">
        <f>V82+V85</f>
        <v>12.864693901519082</v>
      </c>
      <c r="W86" s="109" t="s">
        <v>525</v>
      </c>
      <c r="X86" s="113">
        <f t="shared" si="11"/>
        <v>67.44641418984898</v>
      </c>
      <c r="Y86" s="138" t="s">
        <v>527</v>
      </c>
      <c r="Z86" s="138"/>
    </row>
    <row r="87" spans="6:26">
      <c r="F87" s="4" t="s">
        <v>615</v>
      </c>
      <c r="G87" s="93" t="s">
        <v>641</v>
      </c>
      <c r="H87" s="49">
        <f>AP112</f>
        <v>0.6544733017366603</v>
      </c>
      <c r="O87" s="17" t="s">
        <v>529</v>
      </c>
      <c r="P87" s="90" t="s">
        <v>273</v>
      </c>
      <c r="Q87" s="93" t="s">
        <v>531</v>
      </c>
      <c r="R87" s="62">
        <f>R54-R78</f>
        <v>1.1438657818466744</v>
      </c>
      <c r="S87" s="93" t="s">
        <v>535</v>
      </c>
      <c r="T87" s="44">
        <f>T54-T78</f>
        <v>23.306442693057186</v>
      </c>
      <c r="U87" s="93" t="s">
        <v>539</v>
      </c>
      <c r="V87" s="44">
        <f>V54-V78</f>
        <v>0</v>
      </c>
      <c r="W87" s="93" t="s">
        <v>543</v>
      </c>
      <c r="X87" s="113">
        <f>R87+T87+V87</f>
        <v>24.45030847490386</v>
      </c>
    </row>
    <row r="88" spans="6:26">
      <c r="O88" s="17"/>
      <c r="P88" s="4" t="s">
        <v>274</v>
      </c>
      <c r="Q88" s="93" t="s">
        <v>532</v>
      </c>
      <c r="R88" s="62">
        <f>R55-R79</f>
        <v>12.463075106258637</v>
      </c>
      <c r="S88" s="93" t="s">
        <v>536</v>
      </c>
      <c r="T88" s="44">
        <f>T55-T79</f>
        <v>10.704175707567227</v>
      </c>
      <c r="U88" s="93" t="s">
        <v>540</v>
      </c>
      <c r="V88" s="44">
        <f>V55-V79</f>
        <v>5.2843329825238747</v>
      </c>
      <c r="W88" s="93" t="s">
        <v>544</v>
      </c>
      <c r="X88" s="113">
        <f>R88+T88+V88</f>
        <v>28.451583796349741</v>
      </c>
    </row>
    <row r="89" spans="6:26">
      <c r="J89" s="67"/>
      <c r="K89" s="67"/>
      <c r="L89" s="67"/>
      <c r="O89" s="17"/>
      <c r="P89" s="4" t="s">
        <v>275</v>
      </c>
      <c r="Q89" s="93" t="s">
        <v>533</v>
      </c>
      <c r="R89" s="62">
        <f>R56-R80-R83</f>
        <v>2.2631249840952941</v>
      </c>
      <c r="S89" s="93" t="s">
        <v>537</v>
      </c>
      <c r="T89" s="44">
        <f>T56-T80-T83</f>
        <v>0</v>
      </c>
      <c r="U89" s="93" t="s">
        <v>541</v>
      </c>
      <c r="V89" s="44">
        <f>V56-V80-V83</f>
        <v>40.743542740510094</v>
      </c>
      <c r="W89" s="93" t="s">
        <v>545</v>
      </c>
      <c r="X89" s="113">
        <f>R89+T89+V89</f>
        <v>43.006667724605386</v>
      </c>
    </row>
    <row r="90" spans="6:26">
      <c r="F90" s="46" t="s">
        <v>109</v>
      </c>
      <c r="G90" s="46"/>
      <c r="O90" s="17"/>
      <c r="P90" s="4" t="s">
        <v>276</v>
      </c>
      <c r="Q90" s="93" t="s">
        <v>534</v>
      </c>
      <c r="R90" s="62">
        <f>R57-R81-R84</f>
        <v>0</v>
      </c>
      <c r="S90" s="93" t="s">
        <v>538</v>
      </c>
      <c r="T90" s="44">
        <f>T57-T81-T84</f>
        <v>22.102035890216367</v>
      </c>
      <c r="U90" s="93" t="s">
        <v>542</v>
      </c>
      <c r="V90" s="44">
        <f>V57-V81-V84</f>
        <v>9.7552790291515912</v>
      </c>
      <c r="W90" s="93" t="s">
        <v>546</v>
      </c>
      <c r="X90" s="113">
        <f>R90+T90+V90</f>
        <v>31.857314919367958</v>
      </c>
    </row>
    <row r="91" spans="6:26">
      <c r="F91" s="4" t="s">
        <v>11</v>
      </c>
      <c r="G91" s="50">
        <f ca="1">U151</f>
        <v>0.31831110582596267</v>
      </c>
      <c r="O91" s="90"/>
      <c r="P91" s="4" t="s">
        <v>96</v>
      </c>
      <c r="Q91" s="93" t="s">
        <v>558</v>
      </c>
      <c r="R91" s="62">
        <f>SUM(R87:R90)</f>
        <v>15.870065872200605</v>
      </c>
      <c r="S91" s="93" t="s">
        <v>559</v>
      </c>
      <c r="T91" s="62">
        <f>SUM(T87:T90)</f>
        <v>56.11265429084078</v>
      </c>
      <c r="U91" s="93" t="s">
        <v>560</v>
      </c>
      <c r="V91" s="62">
        <f>SUM(V87:V90)</f>
        <v>55.783154752185567</v>
      </c>
      <c r="W91" s="93" t="s">
        <v>561</v>
      </c>
      <c r="X91" s="113">
        <f>R91+T91+V91</f>
        <v>127.76587491522696</v>
      </c>
    </row>
    <row r="92" spans="6:26">
      <c r="O92" s="116" t="s">
        <v>530</v>
      </c>
      <c r="P92" s="65"/>
      <c r="Q92" s="109" t="s">
        <v>547</v>
      </c>
      <c r="R92" s="110">
        <f>R86+SUM(R87:R90)</f>
        <v>40.443312883435588</v>
      </c>
      <c r="S92" s="109" t="s">
        <v>548</v>
      </c>
      <c r="T92" s="113">
        <f>T86+SUM(T87:T90)</f>
        <v>86.121127567935687</v>
      </c>
      <c r="U92" s="109" t="s">
        <v>549</v>
      </c>
      <c r="V92" s="113">
        <f>V86+SUM(V87:V90)</f>
        <v>68.647848653704642</v>
      </c>
      <c r="W92" s="141" t="s">
        <v>550</v>
      </c>
      <c r="X92" s="113">
        <f t="shared" si="11"/>
        <v>195.21228910507591</v>
      </c>
      <c r="Y92" s="138" t="s">
        <v>527</v>
      </c>
      <c r="Z92" s="138"/>
    </row>
    <row r="95" spans="6:26">
      <c r="F95" s="46" t="s">
        <v>122</v>
      </c>
      <c r="G95" s="46"/>
      <c r="H95" s="46" t="s">
        <v>47</v>
      </c>
      <c r="I95" s="46" t="s">
        <v>79</v>
      </c>
      <c r="J95" s="46" t="s">
        <v>78</v>
      </c>
      <c r="K95" s="23" t="s">
        <v>201</v>
      </c>
    </row>
    <row r="96" spans="6:26">
      <c r="F96" s="6" t="s">
        <v>120</v>
      </c>
      <c r="G96" s="6"/>
      <c r="H96" s="51">
        <f>C6*2.6</f>
        <v>90.428000000000011</v>
      </c>
      <c r="I96" s="51">
        <f>C7*2.6</f>
        <v>81.796000000000006</v>
      </c>
      <c r="J96" s="51">
        <f>C8*2.6</f>
        <v>77.505999999999986</v>
      </c>
      <c r="K96" s="51">
        <f>K54*0.4</f>
        <v>17.749534515779832</v>
      </c>
      <c r="L96" t="s">
        <v>123</v>
      </c>
    </row>
    <row r="97" spans="6:43">
      <c r="F97" s="6" t="s">
        <v>121</v>
      </c>
      <c r="G97" s="6"/>
      <c r="H97" s="51">
        <f>H96*5</f>
        <v>452.14000000000004</v>
      </c>
      <c r="I97" s="51">
        <f>I96*5</f>
        <v>408.98</v>
      </c>
      <c r="J97" s="51">
        <f>J96*5</f>
        <v>387.52999999999992</v>
      </c>
      <c r="K97" s="51">
        <f>K96*5</f>
        <v>88.747672578899156</v>
      </c>
      <c r="L97" t="s">
        <v>124</v>
      </c>
    </row>
    <row r="103" spans="6:43">
      <c r="O103" s="7" t="s">
        <v>127</v>
      </c>
    </row>
    <row r="105" spans="6:43">
      <c r="O105" s="22" t="s">
        <v>194</v>
      </c>
      <c r="P105" s="20">
        <v>0.03</v>
      </c>
    </row>
    <row r="106" spans="6:43">
      <c r="R106" s="191" t="s">
        <v>611</v>
      </c>
      <c r="S106" s="191"/>
      <c r="T106" s="191"/>
      <c r="U106" s="191"/>
      <c r="V106" s="191"/>
      <c r="W106" s="191" t="s">
        <v>597</v>
      </c>
      <c r="X106" s="191"/>
      <c r="Y106" s="191"/>
      <c r="Z106" s="191"/>
      <c r="AA106" s="191" t="s">
        <v>598</v>
      </c>
      <c r="AB106" s="191"/>
      <c r="AC106" s="191"/>
      <c r="AD106" s="191"/>
      <c r="AE106" s="196" t="s">
        <v>132</v>
      </c>
      <c r="AF106" s="196"/>
      <c r="AG106" s="196"/>
      <c r="AH106" s="196" t="s">
        <v>133</v>
      </c>
      <c r="AI106" s="196"/>
      <c r="AJ106" s="196"/>
      <c r="AK106" s="196" t="s">
        <v>131</v>
      </c>
      <c r="AL106" s="196"/>
      <c r="AM106" s="196"/>
      <c r="AN106" s="196"/>
      <c r="AO106" s="196"/>
      <c r="AP106" s="196"/>
    </row>
    <row r="107" spans="6:43">
      <c r="O107" s="47"/>
      <c r="R107" s="191"/>
      <c r="S107" s="191"/>
      <c r="T107" s="191"/>
      <c r="U107" s="191"/>
      <c r="V107" s="191"/>
      <c r="W107" s="191" t="s">
        <v>577</v>
      </c>
      <c r="X107" s="191"/>
      <c r="Y107" s="191" t="s">
        <v>578</v>
      </c>
      <c r="Z107" s="191"/>
      <c r="AA107" s="191" t="s">
        <v>577</v>
      </c>
      <c r="AB107" s="191"/>
      <c r="AC107" s="191" t="s">
        <v>578</v>
      </c>
      <c r="AD107" s="191"/>
      <c r="AE107" s="167"/>
      <c r="AF107" s="167"/>
      <c r="AG107" s="167"/>
      <c r="AH107" s="63"/>
      <c r="AI107" s="63"/>
      <c r="AJ107" s="63"/>
      <c r="AK107" s="200" t="s">
        <v>578</v>
      </c>
      <c r="AL107" s="199"/>
      <c r="AM107" s="194" t="s">
        <v>577</v>
      </c>
      <c r="AN107" s="193"/>
      <c r="AO107" s="200" t="s">
        <v>576</v>
      </c>
      <c r="AP107" s="199"/>
    </row>
    <row r="108" spans="6:43" ht="36" customHeight="1">
      <c r="O108" s="161"/>
      <c r="R108" s="60" t="s">
        <v>612</v>
      </c>
      <c r="S108" s="22" t="s">
        <v>195</v>
      </c>
      <c r="T108" s="22" t="s">
        <v>71</v>
      </c>
      <c r="U108" s="22" t="s">
        <v>72</v>
      </c>
      <c r="V108" s="60" t="s">
        <v>613</v>
      </c>
      <c r="W108" s="192" t="s">
        <v>608</v>
      </c>
      <c r="X108" s="193"/>
      <c r="Y108" s="192" t="s">
        <v>607</v>
      </c>
      <c r="Z108" s="193"/>
      <c r="AA108" s="192" t="s">
        <v>584</v>
      </c>
      <c r="AB108" s="197"/>
      <c r="AC108" s="192" t="s">
        <v>583</v>
      </c>
      <c r="AD108" s="197"/>
      <c r="AE108" s="22" t="s">
        <v>73</v>
      </c>
      <c r="AF108" s="22" t="s">
        <v>74</v>
      </c>
      <c r="AG108" s="22" t="s">
        <v>75</v>
      </c>
      <c r="AH108" s="63" t="s">
        <v>73</v>
      </c>
      <c r="AI108" s="63" t="s">
        <v>76</v>
      </c>
      <c r="AJ108" s="63" t="s">
        <v>75</v>
      </c>
      <c r="AK108" s="198" t="s">
        <v>579</v>
      </c>
      <c r="AL108" s="201"/>
      <c r="AM108" s="198" t="s">
        <v>573</v>
      </c>
      <c r="AN108" s="199"/>
      <c r="AO108" s="198" t="s">
        <v>569</v>
      </c>
      <c r="AP108" s="199"/>
    </row>
    <row r="109" spans="6:43">
      <c r="O109" s="89" t="s">
        <v>562</v>
      </c>
      <c r="P109" s="4" t="s">
        <v>551</v>
      </c>
      <c r="Q109" s="107" t="s">
        <v>375</v>
      </c>
      <c r="R109" s="44">
        <f>$Z$51</f>
        <v>34.638140342776872</v>
      </c>
      <c r="S109" s="42">
        <f>IF($C$3="共同",0.15/1.6,0.043)</f>
        <v>4.2999999999999997E-2</v>
      </c>
      <c r="T109" s="2">
        <v>0.13</v>
      </c>
      <c r="U109" s="20">
        <v>0.2</v>
      </c>
      <c r="V109" s="2">
        <v>1</v>
      </c>
      <c r="W109" s="80" t="s">
        <v>595</v>
      </c>
      <c r="X109" s="182">
        <f>1/($U109/$P$105+$S109+$T109)*V109</f>
        <v>0.14620595545591888</v>
      </c>
      <c r="Y109" s="109" t="s">
        <v>599</v>
      </c>
      <c r="Z109" s="44">
        <f>X109*R109</f>
        <v>5.0643024040319018</v>
      </c>
      <c r="AA109" s="93" t="s">
        <v>589</v>
      </c>
      <c r="AB109" s="44">
        <f>1/($S109+$T109)*V109</f>
        <v>5.7803468208092488</v>
      </c>
      <c r="AC109" s="93" t="s">
        <v>588</v>
      </c>
      <c r="AD109" s="44">
        <f>R109*AB109</f>
        <v>200.22046440911487</v>
      </c>
      <c r="AE109" s="44">
        <f>$AD109-$Z109</f>
        <v>195.15616200508296</v>
      </c>
      <c r="AF109" s="44">
        <f>AE109*$AE$120</f>
        <v>40.124848345702212</v>
      </c>
      <c r="AG109" s="2">
        <f>Z109+(AD109-Z109)*$AE$120</f>
        <v>45.189150749734111</v>
      </c>
      <c r="AH109" s="66">
        <f>Z109</f>
        <v>5.0643024040319018</v>
      </c>
      <c r="AI109" s="24">
        <f>AH109*$AH$120</f>
        <v>-5.6628489550934251</v>
      </c>
      <c r="AJ109" s="187">
        <f>Z109+(-Z109)*$AH$120</f>
        <v>10.727151359125326</v>
      </c>
      <c r="AK109" s="162" t="s">
        <v>580</v>
      </c>
      <c r="AL109" s="52">
        <f>IF($Z$119&lt;=0,AJ109,AG109)</f>
        <v>45.189150749734111</v>
      </c>
      <c r="AM109" s="162" t="s">
        <v>570</v>
      </c>
      <c r="AN109" s="52">
        <f>AL109/R109</f>
        <v>1.3046067226053448</v>
      </c>
      <c r="AO109" s="163" t="s">
        <v>566</v>
      </c>
      <c r="AP109" s="53">
        <f>1/(AN109/V109)-T109-S109</f>
        <v>0.59351452324495557</v>
      </c>
    </row>
    <row r="110" spans="6:43">
      <c r="O110" s="17"/>
      <c r="P110" s="4" t="s">
        <v>555</v>
      </c>
      <c r="Q110" s="93" t="s">
        <v>561</v>
      </c>
      <c r="R110" s="44">
        <f>X91</f>
        <v>127.76587491522696</v>
      </c>
      <c r="S110" s="42">
        <f>IF($C$3="共同",0.135/1.6,0.296)</f>
        <v>0.29599999999999999</v>
      </c>
      <c r="T110" s="2">
        <v>0.15</v>
      </c>
      <c r="U110" s="20">
        <v>0.15</v>
      </c>
      <c r="V110" s="2">
        <v>1</v>
      </c>
      <c r="W110" s="80" t="s">
        <v>596</v>
      </c>
      <c r="X110" s="182">
        <f>1/($U110/$P$105+$S110+$T110)*V110</f>
        <v>0.1836210062431142</v>
      </c>
      <c r="Y110" s="109" t="s">
        <v>600</v>
      </c>
      <c r="Z110" s="44">
        <f>X110*R110</f>
        <v>23.460498515465837</v>
      </c>
      <c r="AA110" s="93" t="s">
        <v>590</v>
      </c>
      <c r="AB110" s="44">
        <f t="shared" ref="AB110:AB112" si="12">1/($S110+$T110)*V110</f>
        <v>2.2421524663677133</v>
      </c>
      <c r="AC110" s="93" t="s">
        <v>585</v>
      </c>
      <c r="AD110" s="44">
        <f>R110*AB110</f>
        <v>286.47057155880486</v>
      </c>
      <c r="AE110" s="44">
        <f>$AD110-$Z110</f>
        <v>263.01007304333905</v>
      </c>
      <c r="AF110" s="44">
        <f>AE110*$AE$120</f>
        <v>54.075870245804353</v>
      </c>
      <c r="AG110" s="2">
        <f>Z110+(AD110-Z110)*$AE$120</f>
        <v>77.536368761270182</v>
      </c>
      <c r="AH110" s="66">
        <f>Z110</f>
        <v>23.460498515465837</v>
      </c>
      <c r="AI110" s="24">
        <f>AH110*$AH$120</f>
        <v>-26.233279315726993</v>
      </c>
      <c r="AJ110" s="187">
        <f>Z110+(-Z110)*$AH$120</f>
        <v>49.693777831192833</v>
      </c>
      <c r="AK110" s="162" t="s">
        <v>581</v>
      </c>
      <c r="AL110" s="52">
        <f>IF($Z$119&lt;=0,AJ110,AG110)</f>
        <v>77.536368761270182</v>
      </c>
      <c r="AM110" s="162" t="s">
        <v>571</v>
      </c>
      <c r="AN110" s="52">
        <f>AL110/R110</f>
        <v>0.60686289521921088</v>
      </c>
      <c r="AO110" s="163" t="s">
        <v>567</v>
      </c>
      <c r="AP110" s="53">
        <f>1/(AN110/V110)-T110-S110</f>
        <v>1.2018186553797794</v>
      </c>
    </row>
    <row r="111" spans="6:43">
      <c r="O111" s="90"/>
      <c r="P111" s="4" t="s">
        <v>24</v>
      </c>
      <c r="Q111" s="93" t="s">
        <v>563</v>
      </c>
      <c r="R111" s="44">
        <f>Z52-R113</f>
        <v>0</v>
      </c>
      <c r="S111" s="2">
        <f>IF($C$3="共同",0.15/1.6,0.12/1.6)</f>
        <v>7.4999999999999997E-2</v>
      </c>
      <c r="T111" s="2">
        <v>0.3</v>
      </c>
      <c r="U111" s="20">
        <v>0.1</v>
      </c>
      <c r="V111" s="2">
        <v>0.7</v>
      </c>
      <c r="W111" s="80" t="s">
        <v>606</v>
      </c>
      <c r="X111" s="182">
        <f>1/($U111/$P$105+$S111+$T111)*V111</f>
        <v>0.18876404494382021</v>
      </c>
      <c r="Y111" s="109" t="s">
        <v>601</v>
      </c>
      <c r="Z111" s="44">
        <f>X111*R111</f>
        <v>0</v>
      </c>
      <c r="AA111" s="93" t="s">
        <v>593</v>
      </c>
      <c r="AB111" s="44">
        <f t="shared" si="12"/>
        <v>1.8666666666666665</v>
      </c>
      <c r="AC111" s="93" t="s">
        <v>594</v>
      </c>
      <c r="AD111" s="44">
        <f>R111*AB111</f>
        <v>0</v>
      </c>
      <c r="AE111" s="2">
        <f>$AD111-$Z111</f>
        <v>0</v>
      </c>
      <c r="AF111" s="44">
        <f>AE111*$AE$120</f>
        <v>0</v>
      </c>
      <c r="AG111" s="2">
        <f>Z111+(AD111-Z111)*$AE$120</f>
        <v>0</v>
      </c>
      <c r="AH111" s="66">
        <f>Z111</f>
        <v>0</v>
      </c>
      <c r="AI111" s="24">
        <f>AH111*$AH$120</f>
        <v>0</v>
      </c>
      <c r="AJ111" s="187">
        <f>Z111+(-Z111)*$AH$120</f>
        <v>0</v>
      </c>
      <c r="AK111" s="162" t="s">
        <v>582</v>
      </c>
      <c r="AL111" s="52">
        <f>IF($Z$119&lt;=0,AJ111,AG111)</f>
        <v>0</v>
      </c>
      <c r="AM111" s="162" t="s">
        <v>572</v>
      </c>
      <c r="AN111" s="52">
        <f>IF(AL111&gt;0,AL111/R111,0)</f>
        <v>0</v>
      </c>
      <c r="AO111" s="163" t="s">
        <v>568</v>
      </c>
      <c r="AP111" s="53">
        <f>IF(AN111&gt;0,1/(AN111/V111)-T111-S111,0)</f>
        <v>0</v>
      </c>
      <c r="AQ111" t="s">
        <v>196</v>
      </c>
    </row>
    <row r="112" spans="6:43">
      <c r="O112" s="171" t="s">
        <v>615</v>
      </c>
      <c r="P112" s="65"/>
      <c r="Q112" s="93" t="s">
        <v>456</v>
      </c>
      <c r="R112" s="44">
        <f>X40</f>
        <v>30.755734262697679</v>
      </c>
      <c r="S112" s="173">
        <f>0.12/1.6</f>
        <v>7.4999999999999997E-2</v>
      </c>
      <c r="T112">
        <f>T110</f>
        <v>0.15</v>
      </c>
      <c r="U112" s="20">
        <v>0.1</v>
      </c>
      <c r="V112" s="172">
        <v>1</v>
      </c>
      <c r="W112" s="174" t="s">
        <v>652</v>
      </c>
      <c r="X112" s="182">
        <f>1/($U112/$P$105+$S112+$T112)*V112</f>
        <v>0.28103044496487117</v>
      </c>
      <c r="Y112" s="109" t="s">
        <v>616</v>
      </c>
      <c r="Z112" s="44">
        <f>X112*R112</f>
        <v>8.643297685067262</v>
      </c>
      <c r="AA112" s="181" t="s">
        <v>651</v>
      </c>
      <c r="AB112" s="44">
        <f t="shared" si="12"/>
        <v>4.4444444444444446</v>
      </c>
      <c r="AC112" s="93" t="s">
        <v>617</v>
      </c>
      <c r="AD112" s="210">
        <f>AB112*R112</f>
        <v>136.69215227865635</v>
      </c>
      <c r="AE112" s="213">
        <f>$AD112-$Z112</f>
        <v>128.04885459358908</v>
      </c>
      <c r="AF112" s="210">
        <f>AE112*$AE$120</f>
        <v>26.32733098775951</v>
      </c>
      <c r="AG112" s="2">
        <f>Z112+(AD112-Z112)*$AE$120</f>
        <v>34.97062867282677</v>
      </c>
      <c r="AH112" s="214">
        <f>Z112</f>
        <v>8.643297685067262</v>
      </c>
      <c r="AI112" s="216">
        <f>AH112*$AH$120</f>
        <v>-9.6648433208642643</v>
      </c>
      <c r="AJ112" s="187">
        <f>AH112-AI112</f>
        <v>18.308141005931525</v>
      </c>
      <c r="AK112" s="93" t="s">
        <v>618</v>
      </c>
      <c r="AL112" s="217">
        <f>IF($Z$119&lt;=0,AJ112,AG112)</f>
        <v>34.97062867282677</v>
      </c>
      <c r="AM112" s="93" t="s">
        <v>619</v>
      </c>
      <c r="AN112" s="217">
        <f>IF(AL112&gt;0,AL112/R112,0)</f>
        <v>1.1370441809038894</v>
      </c>
      <c r="AO112" s="107" t="s">
        <v>635</v>
      </c>
      <c r="AP112" s="218">
        <f>IF(AN112&gt;0,1/(AN112/V112)-T112-S112,0)</f>
        <v>0.6544733017366603</v>
      </c>
      <c r="AQ112" t="s">
        <v>565</v>
      </c>
    </row>
    <row r="113" spans="15:42">
      <c r="O113" s="18" t="s">
        <v>614</v>
      </c>
      <c r="P113" s="65"/>
      <c r="Q113" s="92" t="s">
        <v>564</v>
      </c>
      <c r="R113" s="44">
        <f>X52</f>
        <v>44.373836289449578</v>
      </c>
      <c r="S113" s="180"/>
      <c r="T113" s="180"/>
      <c r="U113" s="180"/>
      <c r="V113" s="180"/>
      <c r="W113" s="93"/>
      <c r="X113" s="183"/>
      <c r="Y113" s="211"/>
      <c r="Z113" s="212"/>
      <c r="AA113" s="181"/>
      <c r="AB113" s="177"/>
      <c r="AC113" s="209"/>
      <c r="AD113" s="212"/>
      <c r="AE113" s="213"/>
      <c r="AF113" s="210"/>
      <c r="AG113" s="44"/>
      <c r="AH113" s="215"/>
      <c r="AI113" s="216"/>
      <c r="AJ113" s="187"/>
      <c r="AK113" s="209"/>
      <c r="AL113" s="217"/>
      <c r="AM113" s="93"/>
      <c r="AN113" s="217"/>
      <c r="AO113" s="219"/>
      <c r="AP113" s="219"/>
    </row>
    <row r="114" spans="15:42">
      <c r="O114" s="89" t="s">
        <v>470</v>
      </c>
      <c r="P114" s="4" t="s">
        <v>11</v>
      </c>
      <c r="Q114" s="93" t="s">
        <v>224</v>
      </c>
      <c r="R114" s="44">
        <f>X82</f>
        <v>60.068133863977728</v>
      </c>
      <c r="S114" s="2"/>
      <c r="T114" s="2">
        <v>0</v>
      </c>
      <c r="U114" s="2"/>
      <c r="V114" s="2"/>
      <c r="W114" s="2" t="s">
        <v>605</v>
      </c>
      <c r="X114" s="184">
        <f>IF($C$4=8,10,2)</f>
        <v>2</v>
      </c>
      <c r="Y114" s="169" t="s">
        <v>602</v>
      </c>
      <c r="Z114" s="44">
        <f>X114*R114</f>
        <v>120.13626772795546</v>
      </c>
      <c r="AA114" s="93" t="s">
        <v>592</v>
      </c>
      <c r="AB114" s="170">
        <v>10</v>
      </c>
      <c r="AC114" s="169" t="s">
        <v>586</v>
      </c>
      <c r="AD114" s="44">
        <f>R114*AB114</f>
        <v>600.68133863977732</v>
      </c>
      <c r="AE114" s="2">
        <f>$AD114-$Z114</f>
        <v>480.54507091182188</v>
      </c>
      <c r="AF114" s="44">
        <f>AE114*$AE$120</f>
        <v>98.801892266713878</v>
      </c>
      <c r="AG114" s="2">
        <f>Z114+(AD114-Z114)*$AE$120</f>
        <v>218.93815999466932</v>
      </c>
      <c r="AH114" s="66">
        <f>Z114</f>
        <v>120.13626772795546</v>
      </c>
      <c r="AI114" s="24">
        <f>AH114*$AH$120</f>
        <v>-134.33509373975193</v>
      </c>
      <c r="AJ114" s="187">
        <f>Z114+(-Z114)*$AH$120</f>
        <v>254.47136146770737</v>
      </c>
      <c r="AK114" s="93" t="s">
        <v>620</v>
      </c>
      <c r="AL114" s="113">
        <f>IF($Z$119&lt;=0,AJ114,AG114)</f>
        <v>218.93815999466932</v>
      </c>
      <c r="AM114" s="93" t="s">
        <v>574</v>
      </c>
      <c r="AN114" s="166">
        <f>AL114/R114</f>
        <v>3.6448303936068238</v>
      </c>
      <c r="AO114" s="165"/>
      <c r="AP114" s="164"/>
    </row>
    <row r="115" spans="15:42">
      <c r="O115" s="90"/>
      <c r="P115" s="4" t="s">
        <v>12</v>
      </c>
      <c r="Q115" s="93" t="s">
        <v>556</v>
      </c>
      <c r="R115" s="44">
        <f>X85</f>
        <v>7.3782803258712395</v>
      </c>
      <c r="S115" s="2"/>
      <c r="T115" s="2">
        <v>0</v>
      </c>
      <c r="U115" s="2"/>
      <c r="V115" s="2"/>
      <c r="W115" s="2" t="s">
        <v>604</v>
      </c>
      <c r="X115" s="184">
        <f>IF($C$4=8,10,6)</f>
        <v>6</v>
      </c>
      <c r="Y115" s="169" t="s">
        <v>603</v>
      </c>
      <c r="Z115" s="44">
        <f>X115*R115</f>
        <v>44.269681955227441</v>
      </c>
      <c r="AA115" s="93" t="s">
        <v>591</v>
      </c>
      <c r="AB115" s="170">
        <v>10</v>
      </c>
      <c r="AC115" s="169" t="s">
        <v>587</v>
      </c>
      <c r="AD115" s="44">
        <f>R115*AB115</f>
        <v>73.782803258712391</v>
      </c>
      <c r="AE115" s="2">
        <f>$AD115-$Z115</f>
        <v>29.513121303484951</v>
      </c>
      <c r="AF115" s="44">
        <f>AE115*$AE$120</f>
        <v>6.0680098662721358</v>
      </c>
      <c r="AG115" s="2">
        <f>Z115+(AD115-Z115)*$AE$120</f>
        <v>50.337691821499575</v>
      </c>
      <c r="AH115" s="66">
        <f>Z115</f>
        <v>44.269681955227441</v>
      </c>
      <c r="AI115" s="24">
        <f>AH115*$AH$120</f>
        <v>-49.501886380815492</v>
      </c>
      <c r="AJ115" s="187">
        <f>Z115+(-Z115)*$AH$120</f>
        <v>93.771568336042932</v>
      </c>
      <c r="AK115" s="93" t="s">
        <v>621</v>
      </c>
      <c r="AL115" s="113">
        <f>IF($Z$119&lt;=0,AJ115,AG115)</f>
        <v>50.337691821499575</v>
      </c>
      <c r="AM115" s="93" t="s">
        <v>575</v>
      </c>
      <c r="AN115" s="166">
        <f>AL115/R115</f>
        <v>6.8224151968034121</v>
      </c>
      <c r="AO115" s="165"/>
      <c r="AP115" s="164"/>
    </row>
    <row r="116" spans="15:42">
      <c r="O116" s="25"/>
      <c r="P116" s="25"/>
      <c r="Q116" s="175"/>
      <c r="R116" s="176"/>
      <c r="T116">
        <f>SUM(T109:T115)</f>
        <v>0.73000000000000009</v>
      </c>
    </row>
    <row r="117" spans="15:42">
      <c r="Y117" s="185" t="s">
        <v>648</v>
      </c>
      <c r="Z117">
        <f>$C$10*$C$9</f>
        <v>426.97199999999998</v>
      </c>
      <c r="AG117" s="7"/>
    </row>
    <row r="118" spans="15:42">
      <c r="Y118" s="185" t="s">
        <v>609</v>
      </c>
      <c r="Z118" s="67">
        <f>SUM(Z109:Z115)</f>
        <v>201.5740482877479</v>
      </c>
      <c r="AD118" s="185" t="s">
        <v>644</v>
      </c>
      <c r="AE118" s="67">
        <f>SUM(AE109:AE115)</f>
        <v>1096.2732818573179</v>
      </c>
      <c r="AG118">
        <f>SUM(AG109:AG116)</f>
        <v>426.97199999999998</v>
      </c>
      <c r="AH118" s="67">
        <f>SUM(AH109:AH115)</f>
        <v>201.5740482877479</v>
      </c>
      <c r="AJ118" s="221">
        <f>SUM(AJ109:AJ115)</f>
        <v>426.97199999999998</v>
      </c>
    </row>
    <row r="119" spans="15:42">
      <c r="Y119" s="185" t="s">
        <v>645</v>
      </c>
      <c r="Z119" s="220">
        <f>Z117-Z118</f>
        <v>225.39795171225208</v>
      </c>
    </row>
    <row r="120" spans="15:42" ht="36">
      <c r="AD120" s="186" t="s">
        <v>646</v>
      </c>
      <c r="AE120">
        <f>Z119/AE118</f>
        <v>0.20560379920085298</v>
      </c>
      <c r="AG120" s="186" t="s">
        <v>647</v>
      </c>
      <c r="AH120">
        <f>-Z119/AH118</f>
        <v>-1.1181893384930954</v>
      </c>
    </row>
    <row r="122" spans="15:42">
      <c r="O122" s="7" t="s">
        <v>130</v>
      </c>
    </row>
    <row r="123" spans="15:42">
      <c r="O123" t="s">
        <v>102</v>
      </c>
      <c r="S123" s="7"/>
    </row>
    <row r="124" spans="15:42">
      <c r="O124" s="22" t="s">
        <v>101</v>
      </c>
      <c r="P124" s="22" t="s">
        <v>88</v>
      </c>
      <c r="Q124" s="22" t="s">
        <v>622</v>
      </c>
      <c r="R124" s="22" t="s">
        <v>626</v>
      </c>
      <c r="S124" s="191" t="s">
        <v>627</v>
      </c>
      <c r="T124" s="191"/>
      <c r="U124" s="22" t="s">
        <v>628</v>
      </c>
      <c r="W124" s="22" t="s">
        <v>629</v>
      </c>
      <c r="X124" s="22" t="s">
        <v>104</v>
      </c>
    </row>
    <row r="125" spans="15:42">
      <c r="O125" s="4" t="s">
        <v>81</v>
      </c>
      <c r="P125" s="26" t="s">
        <v>89</v>
      </c>
      <c r="Q125" s="107" t="s">
        <v>375</v>
      </c>
      <c r="R125" s="44">
        <f>$Z$51</f>
        <v>34.638140342776872</v>
      </c>
      <c r="S125" s="93" t="s">
        <v>570</v>
      </c>
      <c r="T125" s="73">
        <f>$AN$109</f>
        <v>1.3046067226053448</v>
      </c>
      <c r="U125" s="42">
        <f ca="1">VLOOKUP(P125,年間平均の方位係数,10,FALSE)</f>
        <v>1</v>
      </c>
      <c r="W125" s="2">
        <v>1</v>
      </c>
      <c r="X125" s="44">
        <f t="shared" ref="X125:X135" ca="1" si="13">R125*0.034*T125*U125*W125</f>
        <v>1.5364311254909599</v>
      </c>
    </row>
    <row r="126" spans="15:42">
      <c r="O126" s="4" t="s">
        <v>27</v>
      </c>
      <c r="P126" s="4" t="s">
        <v>6</v>
      </c>
      <c r="Q126" s="93" t="s">
        <v>543</v>
      </c>
      <c r="R126" s="44">
        <f>X87</f>
        <v>24.45030847490386</v>
      </c>
      <c r="S126" s="93" t="s">
        <v>571</v>
      </c>
      <c r="T126" s="44">
        <f>$AN$110</f>
        <v>0.60686289521921088</v>
      </c>
      <c r="U126" s="42">
        <f t="shared" ref="U126:U135" ca="1" si="14">VLOOKUP(P126,年間平均の方位係数,10,FALSE)</f>
        <v>0.73063636363636364</v>
      </c>
      <c r="W126" s="2">
        <v>1</v>
      </c>
      <c r="X126" s="44">
        <f t="shared" ca="1" si="13"/>
        <v>0.36859982749273557</v>
      </c>
    </row>
    <row r="127" spans="15:42">
      <c r="O127" s="4"/>
      <c r="P127" s="4" t="s">
        <v>7</v>
      </c>
      <c r="Q127" s="93" t="s">
        <v>544</v>
      </c>
      <c r="R127" s="44">
        <f t="shared" ref="R127:R129" si="15">X88</f>
        <v>28.451583796349741</v>
      </c>
      <c r="S127" s="93" t="s">
        <v>571</v>
      </c>
      <c r="T127" s="44">
        <f>$AN$110</f>
        <v>0.60686289521921088</v>
      </c>
      <c r="U127" s="42">
        <f t="shared" ca="1" si="14"/>
        <v>0.55159090909090902</v>
      </c>
      <c r="W127" s="2">
        <v>1</v>
      </c>
      <c r="X127" s="44">
        <f t="shared" ca="1" si="13"/>
        <v>0.32381208167678122</v>
      </c>
    </row>
    <row r="128" spans="15:42">
      <c r="O128" s="4"/>
      <c r="P128" s="4" t="s">
        <v>8</v>
      </c>
      <c r="Q128" s="93" t="s">
        <v>545</v>
      </c>
      <c r="R128" s="44">
        <f t="shared" si="15"/>
        <v>43.006667724605386</v>
      </c>
      <c r="S128" s="93" t="s">
        <v>571</v>
      </c>
      <c r="T128" s="44">
        <f>$AN$110</f>
        <v>0.60686289521921088</v>
      </c>
      <c r="U128" s="42">
        <f t="shared" ca="1" si="14"/>
        <v>0.29372727272727273</v>
      </c>
      <c r="W128" s="2">
        <v>1</v>
      </c>
      <c r="X128" s="44">
        <f t="shared" ca="1" si="13"/>
        <v>0.26064510197904561</v>
      </c>
    </row>
    <row r="129" spans="15:24">
      <c r="O129" s="4"/>
      <c r="P129" s="4" t="s">
        <v>9</v>
      </c>
      <c r="Q129" s="93" t="s">
        <v>546</v>
      </c>
      <c r="R129" s="44">
        <f t="shared" si="15"/>
        <v>31.857314919367958</v>
      </c>
      <c r="S129" s="93" t="s">
        <v>571</v>
      </c>
      <c r="T129" s="44">
        <f>$AN$110</f>
        <v>0.60686289521921088</v>
      </c>
      <c r="U129" s="42">
        <f t="shared" ca="1" si="14"/>
        <v>0.51522727272727276</v>
      </c>
      <c r="W129" s="2">
        <v>1</v>
      </c>
      <c r="X129" s="44">
        <f t="shared" ca="1" si="13"/>
        <v>0.33867061316298391</v>
      </c>
    </row>
    <row r="130" spans="15:24">
      <c r="O130" s="4" t="s">
        <v>615</v>
      </c>
      <c r="P130" s="4" t="s">
        <v>6</v>
      </c>
      <c r="Q130" s="107" t="s">
        <v>449</v>
      </c>
      <c r="R130" s="44">
        <f>X54</f>
        <v>7.2293365674030907</v>
      </c>
      <c r="S130" s="93" t="s">
        <v>619</v>
      </c>
      <c r="T130" s="44">
        <f>$AN$112</f>
        <v>1.1370441809038894</v>
      </c>
      <c r="U130" s="42">
        <f t="shared" ca="1" si="14"/>
        <v>0.73063636363636364</v>
      </c>
      <c r="W130" s="2">
        <v>1</v>
      </c>
      <c r="X130" s="44">
        <f t="shared" ca="1" si="13"/>
        <v>0.20420011591385492</v>
      </c>
    </row>
    <row r="131" spans="15:24">
      <c r="O131" s="4"/>
      <c r="P131" s="4" t="s">
        <v>7</v>
      </c>
      <c r="Q131" s="107" t="s">
        <v>450</v>
      </c>
      <c r="R131" s="44">
        <f t="shared" ref="R131:R133" si="16">X55</f>
        <v>8.1485305639457497</v>
      </c>
      <c r="S131" s="93" t="s">
        <v>619</v>
      </c>
      <c r="T131" s="44">
        <f t="shared" ref="T131:T133" si="17">$AN$112</f>
        <v>1.1370441809038894</v>
      </c>
      <c r="U131" s="42">
        <f t="shared" ca="1" si="14"/>
        <v>0.55159090909090902</v>
      </c>
      <c r="W131" s="2">
        <v>1</v>
      </c>
      <c r="X131" s="44">
        <f t="shared" ca="1" si="13"/>
        <v>0.17376113938874591</v>
      </c>
    </row>
    <row r="132" spans="15:24">
      <c r="O132" s="4"/>
      <c r="P132" s="4" t="s">
        <v>8</v>
      </c>
      <c r="Q132" s="107" t="s">
        <v>451</v>
      </c>
      <c r="R132" s="44">
        <f t="shared" si="16"/>
        <v>7.2293365674030907</v>
      </c>
      <c r="S132" s="93" t="s">
        <v>619</v>
      </c>
      <c r="T132" s="44">
        <f t="shared" si="17"/>
        <v>1.1370441809038894</v>
      </c>
      <c r="U132" s="42">
        <f t="shared" ca="1" si="14"/>
        <v>0.29372727272727273</v>
      </c>
      <c r="W132" s="2">
        <v>1</v>
      </c>
      <c r="X132" s="44">
        <f t="shared" ca="1" si="13"/>
        <v>8.2091647942971913E-2</v>
      </c>
    </row>
    <row r="133" spans="15:24">
      <c r="O133" s="4"/>
      <c r="P133" s="4" t="s">
        <v>9</v>
      </c>
      <c r="Q133" s="107" t="s">
        <v>452</v>
      </c>
      <c r="R133" s="44">
        <f t="shared" si="16"/>
        <v>8.1485305639457497</v>
      </c>
      <c r="S133" s="93" t="s">
        <v>619</v>
      </c>
      <c r="T133" s="44">
        <f t="shared" si="17"/>
        <v>1.1370441809038894</v>
      </c>
      <c r="U133" s="42">
        <f t="shared" ca="1" si="14"/>
        <v>0.51522727272727276</v>
      </c>
      <c r="W133" s="2">
        <v>1</v>
      </c>
      <c r="X133" s="44">
        <f t="shared" ca="1" si="13"/>
        <v>0.1623059344846671</v>
      </c>
    </row>
    <row r="134" spans="15:24">
      <c r="O134" s="4" t="s">
        <v>12</v>
      </c>
      <c r="P134" s="4" t="s">
        <v>8</v>
      </c>
      <c r="Q134" s="93" t="s">
        <v>522</v>
      </c>
      <c r="R134" s="44">
        <f>SUM(H47:J47)</f>
        <v>3.4053601504021107</v>
      </c>
      <c r="S134" s="93" t="s">
        <v>575</v>
      </c>
      <c r="T134" s="44">
        <f>$AN$115</f>
        <v>6.8224151968034121</v>
      </c>
      <c r="U134" s="42">
        <f t="shared" ca="1" si="14"/>
        <v>0.29372727272727273</v>
      </c>
      <c r="W134" s="2">
        <v>1</v>
      </c>
      <c r="X134" s="44">
        <f t="shared" ca="1" si="13"/>
        <v>0.23201944604303562</v>
      </c>
    </row>
    <row r="135" spans="15:24">
      <c r="O135" s="4" t="s">
        <v>12</v>
      </c>
      <c r="P135" s="4" t="s">
        <v>9</v>
      </c>
      <c r="Q135" s="93" t="s">
        <v>523</v>
      </c>
      <c r="R135" s="44">
        <f>SUM(H48:J48)</f>
        <v>3.9729201754691283</v>
      </c>
      <c r="S135" s="93" t="s">
        <v>575</v>
      </c>
      <c r="T135" s="44">
        <f>$AN$115</f>
        <v>6.8224151968034121</v>
      </c>
      <c r="U135" s="42">
        <f t="shared" ca="1" si="14"/>
        <v>0.51522727272727276</v>
      </c>
      <c r="W135" s="2">
        <v>1</v>
      </c>
      <c r="X135" s="44">
        <f t="shared" ca="1" si="13"/>
        <v>0.47481643831333581</v>
      </c>
    </row>
    <row r="136" spans="15:24">
      <c r="U136" s="43" t="s">
        <v>96</v>
      </c>
      <c r="X136" s="177">
        <f ca="1">SUM(X125:X135)</f>
        <v>4.1573534718891167</v>
      </c>
    </row>
    <row r="143" spans="15:24">
      <c r="O143" t="s">
        <v>100</v>
      </c>
    </row>
    <row r="144" spans="15:24">
      <c r="O144" s="22" t="s">
        <v>11</v>
      </c>
      <c r="P144" s="22" t="s">
        <v>99</v>
      </c>
      <c r="Q144" s="22" t="s">
        <v>622</v>
      </c>
      <c r="R144" s="22" t="s">
        <v>626</v>
      </c>
      <c r="S144" s="32" t="s">
        <v>85</v>
      </c>
      <c r="T144" s="32" t="s">
        <v>650</v>
      </c>
      <c r="U144" s="22" t="s">
        <v>98</v>
      </c>
    </row>
    <row r="145" spans="15:22">
      <c r="O145" s="89" t="s">
        <v>11</v>
      </c>
      <c r="P145" s="4" t="s">
        <v>6</v>
      </c>
      <c r="Q145" s="142" t="s">
        <v>491</v>
      </c>
      <c r="R145" s="2">
        <f>SUM(H43:J43)</f>
        <v>31.762340662083879</v>
      </c>
      <c r="S145" s="42">
        <f ca="1">VLOOKUP(P145,方位係数!$A$5:$J$14,10,FALSE)</f>
        <v>0.434</v>
      </c>
      <c r="T145" s="42">
        <f ca="1">VLOOKUP(P145,方位係数!$A$19:$J$28,10,FALSE)</f>
        <v>0.93600000000000005</v>
      </c>
      <c r="U145" s="2">
        <f ca="1">($R145*$S145*0.93*$H$30+$R145*$T145*0.51*$H$29)/($H$29+$H$30)</f>
        <v>14.20391662009788</v>
      </c>
    </row>
    <row r="146" spans="15:22">
      <c r="O146" s="17"/>
      <c r="P146" s="4" t="s">
        <v>7</v>
      </c>
      <c r="Q146" s="142" t="s">
        <v>492</v>
      </c>
      <c r="R146" s="2">
        <f>SUM(H44:J44)</f>
        <v>7.966861092607405</v>
      </c>
      <c r="S146" s="42">
        <f ca="1">VLOOKUP(P146,方位係数!$A$5:$J$14,10,FALSE)</f>
        <v>0.51200000000000001</v>
      </c>
      <c r="T146" s="42">
        <f ca="1">VLOOKUP(P146,方位係数!$A$19:$J$28,10,FALSE)</f>
        <v>0.57899999999999996</v>
      </c>
      <c r="U146" s="2">
        <f t="shared" ref="U146:U148" ca="1" si="18">($R146*$S146*0.93*$H$30+$R146*$T146*0.51*$H$29)/($H$29+$H$30)</f>
        <v>2.9420205707805454</v>
      </c>
    </row>
    <row r="147" spans="15:22">
      <c r="O147" s="17"/>
      <c r="P147" s="4" t="s">
        <v>8</v>
      </c>
      <c r="Q147" s="142" t="s">
        <v>493</v>
      </c>
      <c r="R147" s="2">
        <f>SUM(H45:J45)</f>
        <v>15.987638583772638</v>
      </c>
      <c r="S147" s="42">
        <f ca="1">VLOOKUP(P147,方位係数!$A$5:$J$14,10,FALSE)</f>
        <v>0.34100000000000003</v>
      </c>
      <c r="T147" s="42">
        <f ca="1">VLOOKUP(P147,方位係数!$A$19:$J$28,10,FALSE)</f>
        <v>0.26100000000000001</v>
      </c>
      <c r="U147" s="2">
        <f t="shared" ca="1" si="18"/>
        <v>3.3316785386892747</v>
      </c>
    </row>
    <row r="148" spans="15:22">
      <c r="O148" s="90"/>
      <c r="P148" s="4" t="s">
        <v>9</v>
      </c>
      <c r="Q148" s="142" t="s">
        <v>494</v>
      </c>
      <c r="R148" s="2">
        <f>SUM(H46:J46)</f>
        <v>4.3512935255138077</v>
      </c>
      <c r="S148" s="42">
        <f ca="1">VLOOKUP(P148,方位係数!$A$5:$J$14,10,FALSE)</f>
        <v>0.504</v>
      </c>
      <c r="T148" s="42">
        <f ca="1">VLOOKUP(P148,方位係数!$A$19:$J$28,10,FALSE)</f>
        <v>0.52300000000000002</v>
      </c>
      <c r="U148" s="2">
        <f t="shared" ca="1" si="18"/>
        <v>1.5201777953769711</v>
      </c>
    </row>
    <row r="150" spans="15:22">
      <c r="T150" t="s">
        <v>83</v>
      </c>
      <c r="U150" s="178">
        <f ca="1">$H$32-$X$136</f>
        <v>7.0021419826563385</v>
      </c>
      <c r="V150" t="s">
        <v>105</v>
      </c>
    </row>
    <row r="151" spans="15:22">
      <c r="T151" s="7" t="s">
        <v>103</v>
      </c>
      <c r="U151" s="30">
        <f ca="1">MAX(0, U150/SUM(U145:U148))</f>
        <v>0.31831110582596267</v>
      </c>
      <c r="V151" t="s">
        <v>106</v>
      </c>
    </row>
  </sheetData>
  <mergeCells count="30">
    <mergeCell ref="S124:T124"/>
    <mergeCell ref="AC108:AD108"/>
    <mergeCell ref="AC107:AD107"/>
    <mergeCell ref="AA106:AD106"/>
    <mergeCell ref="AO108:AP108"/>
    <mergeCell ref="AM108:AN108"/>
    <mergeCell ref="AO107:AP107"/>
    <mergeCell ref="AM107:AN107"/>
    <mergeCell ref="AK107:AL107"/>
    <mergeCell ref="AK108:AL108"/>
    <mergeCell ref="AA108:AB108"/>
    <mergeCell ref="AA107:AB107"/>
    <mergeCell ref="W15:X15"/>
    <mergeCell ref="U15:V15"/>
    <mergeCell ref="AK106:AP106"/>
    <mergeCell ref="AE106:AG106"/>
    <mergeCell ref="AH106:AJ106"/>
    <mergeCell ref="W106:Z106"/>
    <mergeCell ref="Y3:Z3"/>
    <mergeCell ref="U3:V3"/>
    <mergeCell ref="W3:X3"/>
    <mergeCell ref="Q3:R3"/>
    <mergeCell ref="S3:T3"/>
    <mergeCell ref="F42:G42"/>
    <mergeCell ref="F66:F69"/>
    <mergeCell ref="R106:V107"/>
    <mergeCell ref="W107:X107"/>
    <mergeCell ref="Y107:Z107"/>
    <mergeCell ref="Y108:Z108"/>
    <mergeCell ref="W108:X108"/>
  </mergeCells>
  <phoneticPr fontId="1"/>
  <conditionalFormatting sqref="R69">
    <cfRule type="expression" dxfId="8" priority="10">
      <formula>$R$41=$R$69</formula>
    </cfRule>
  </conditionalFormatting>
  <conditionalFormatting sqref="T69">
    <cfRule type="expression" dxfId="7" priority="9">
      <formula>$T$41=$T$69</formula>
    </cfRule>
  </conditionalFormatting>
  <conditionalFormatting sqref="V69">
    <cfRule type="expression" dxfId="6" priority="8">
      <formula>$V$41=$V$69</formula>
    </cfRule>
  </conditionalFormatting>
  <conditionalFormatting sqref="X69">
    <cfRule type="expression" dxfId="5" priority="7">
      <formula>$X$41=$X$69</formula>
    </cfRule>
  </conditionalFormatting>
  <conditionalFormatting sqref="X86">
    <cfRule type="expression" dxfId="4" priority="5">
      <formula>$H$34=$X$86</formula>
    </cfRule>
  </conditionalFormatting>
  <conditionalFormatting sqref="X92">
    <cfRule type="expression" dxfId="3" priority="12">
      <formula>$Z$58=$X$92</formula>
    </cfRule>
  </conditionalFormatting>
  <conditionalFormatting sqref="Z41">
    <cfRule type="expression" dxfId="2" priority="13">
      <formula>$C$9=$Z$41</formula>
    </cfRule>
  </conditionalFormatting>
  <conditionalFormatting sqref="Z59">
    <cfRule type="expression" dxfId="1" priority="14">
      <formula>$Z$59=$C$9</formula>
    </cfRule>
  </conditionalFormatting>
  <conditionalFormatting sqref="Z69">
    <cfRule type="expression" dxfId="0" priority="6">
      <formula>$Z$41=$Z$69</formula>
    </cfRule>
  </conditionalFormatting>
  <dataValidations count="3">
    <dataValidation type="list" allowBlank="1" showInputMessage="1" showErrorMessage="1" sqref="C4" xr:uid="{19693AB2-2824-497F-8E8C-E0026AC4CBB6}">
      <formula1>"1,2,3,4,5,6,7,8"</formula1>
    </dataValidation>
    <dataValidation type="list" allowBlank="1" showInputMessage="1" showErrorMessage="1" sqref="C13" xr:uid="{A90F8449-A9F0-43AC-910E-3B6C0282EB57}">
      <formula1>"基礎断熱,床下断熱"</formula1>
    </dataValidation>
    <dataValidation type="list" allowBlank="1" showInputMessage="1" showErrorMessage="1" sqref="C3" xr:uid="{26082EC7-EB59-4D4E-BDD3-6835EA13E86F}">
      <formula1>"戸建て,共同"</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24A1D-D45D-462C-A71E-D3E605009B94}">
  <dimension ref="A1:T101"/>
  <sheetViews>
    <sheetView topLeftCell="A58" zoomScale="80" zoomScaleNormal="80" workbookViewId="0">
      <selection activeCell="C80" sqref="C80"/>
    </sheetView>
  </sheetViews>
  <sheetFormatPr defaultRowHeight="18"/>
  <cols>
    <col min="3" max="3" width="24.75" customWidth="1"/>
    <col min="4" max="4" width="9.75" customWidth="1"/>
    <col min="5" max="5" width="23.75" customWidth="1"/>
    <col min="6" max="6" width="9.75" customWidth="1"/>
    <col min="7" max="7" width="24" customWidth="1"/>
    <col min="8" max="8" width="9.75" customWidth="1"/>
    <col min="9" max="9" width="21.58203125" customWidth="1"/>
    <col min="10" max="12" width="9.75" customWidth="1"/>
    <col min="13" max="13" width="22.33203125" customWidth="1"/>
    <col min="14" max="15" width="9.75" customWidth="1"/>
  </cols>
  <sheetData>
    <row r="1" spans="1:10">
      <c r="A1" s="7" t="s">
        <v>179</v>
      </c>
    </row>
    <row r="2" spans="1:10">
      <c r="A2" s="34" t="s">
        <v>180</v>
      </c>
    </row>
    <row r="3" spans="1:10" ht="37.5" customHeight="1">
      <c r="A3" s="202" t="s">
        <v>128</v>
      </c>
      <c r="B3" s="202"/>
      <c r="C3" s="206" t="s">
        <v>47</v>
      </c>
      <c r="D3" s="206"/>
      <c r="E3" s="206" t="s">
        <v>79</v>
      </c>
      <c r="F3" s="206"/>
      <c r="G3" s="206" t="s">
        <v>78</v>
      </c>
      <c r="H3" s="206"/>
      <c r="I3" s="119" t="s">
        <v>200</v>
      </c>
      <c r="J3" s="120"/>
    </row>
    <row r="4" spans="1:10">
      <c r="A4" s="203" t="s">
        <v>310</v>
      </c>
      <c r="B4" s="203"/>
      <c r="D4">
        <f>IF(推計!$C$3="戸建て",C25,J25)</f>
        <v>29.810000000000002</v>
      </c>
      <c r="F4">
        <f>IF(推計!$C$3="戸建て",D25,K25)</f>
        <v>51.349999999999994</v>
      </c>
      <c r="H4">
        <f>IF(推計!$C$3="戸建て",E25,L25)</f>
        <v>38.93</v>
      </c>
      <c r="I4" s="104"/>
      <c r="J4" s="34"/>
    </row>
    <row r="5" spans="1:10">
      <c r="A5" s="89" t="s">
        <v>5</v>
      </c>
      <c r="B5" s="4" t="s">
        <v>303</v>
      </c>
      <c r="C5" s="84" t="s">
        <v>305</v>
      </c>
      <c r="D5" s="82">
        <f>IF(推計!$C$3="戸建て",面積!C26,面積!J26)</f>
        <v>0</v>
      </c>
      <c r="E5" s="84" t="s">
        <v>306</v>
      </c>
      <c r="F5" s="82">
        <f>IF(推計!$C$3="戸建て",面積!D26,面積!K26)</f>
        <v>34.79</v>
      </c>
      <c r="G5" s="84" t="s">
        <v>307</v>
      </c>
      <c r="H5" s="82">
        <f>IF(推計!$C$3="戸建て",面積!E26,面積!L26)</f>
        <v>17.399999999999999</v>
      </c>
      <c r="I5" s="84" t="s">
        <v>410</v>
      </c>
      <c r="J5" s="82">
        <f>IF(推計!$C$3="戸建て",面積!$F$26,面積!$M$26)</f>
        <v>0</v>
      </c>
    </row>
    <row r="6" spans="1:10">
      <c r="A6" s="17"/>
      <c r="B6" s="4" t="s">
        <v>6</v>
      </c>
      <c r="C6" s="84" t="s">
        <v>206</v>
      </c>
      <c r="D6" s="82">
        <f>IF(推計!$C$3="戸建て",面積!C27,面積!J27)</f>
        <v>14.21</v>
      </c>
      <c r="E6" s="84" t="s">
        <v>210</v>
      </c>
      <c r="F6" s="82">
        <f>IF(推計!$C$3="戸建て",面積!D27,面積!K27)</f>
        <v>29.259999999999998</v>
      </c>
      <c r="G6" s="84" t="s">
        <v>214</v>
      </c>
      <c r="H6" s="82">
        <f>IF(推計!$C$3="戸建て",面積!E27,面積!L27)</f>
        <v>0</v>
      </c>
      <c r="I6" s="84" t="s">
        <v>244</v>
      </c>
      <c r="J6" s="82">
        <f>IF(推計!$C$3="戸建て",面積!$F$27,面積!$M$27)</f>
        <v>2.91</v>
      </c>
    </row>
    <row r="7" spans="1:10">
      <c r="A7" s="17"/>
      <c r="B7" s="4" t="s">
        <v>7</v>
      </c>
      <c r="C7" s="84" t="s">
        <v>207</v>
      </c>
      <c r="D7" s="83">
        <f>IF(推計!$C$3="戸建て",面積!C28,面積!J28)</f>
        <v>17.200000000000003</v>
      </c>
      <c r="E7" s="84" t="s">
        <v>211</v>
      </c>
      <c r="F7" s="82">
        <f>IF(推計!$C$3="戸建て",面積!D28,面積!K28)</f>
        <v>8.74</v>
      </c>
      <c r="G7" s="84" t="s">
        <v>215</v>
      </c>
      <c r="H7" s="82">
        <f>IF(推計!$C$3="戸建て",面積!E28,面積!L28)</f>
        <v>4.3600000000000003</v>
      </c>
      <c r="I7" s="84" t="s">
        <v>245</v>
      </c>
      <c r="J7" s="82">
        <f>IF(推計!$C$3="戸建て",面積!$F$28,面積!$M$28)</f>
        <v>3.28</v>
      </c>
    </row>
    <row r="8" spans="1:10">
      <c r="A8" s="17"/>
      <c r="B8" s="4" t="s">
        <v>8</v>
      </c>
      <c r="C8" s="84" t="s">
        <v>208</v>
      </c>
      <c r="D8" s="82">
        <f>IF(推計!$C$3="戸建て",面積!C29,面積!J29)</f>
        <v>5.12</v>
      </c>
      <c r="E8" s="84" t="s">
        <v>212</v>
      </c>
      <c r="F8" s="82">
        <f>IF(推計!$C$3="戸建て",面積!D29,面積!K29)</f>
        <v>6.77</v>
      </c>
      <c r="G8" s="84" t="s">
        <v>216</v>
      </c>
      <c r="H8" s="82">
        <f>IF(推計!$C$3="戸建て",面積!E29,面積!L29)</f>
        <v>39.08</v>
      </c>
      <c r="I8" s="84" t="s">
        <v>247</v>
      </c>
      <c r="J8" s="82">
        <f>IF(推計!$C$3="戸建て",面積!$F$29,面積!$M$29)</f>
        <v>2.91</v>
      </c>
    </row>
    <row r="9" spans="1:10">
      <c r="A9" s="17"/>
      <c r="B9" s="4" t="s">
        <v>9</v>
      </c>
      <c r="C9" s="84" t="s">
        <v>209</v>
      </c>
      <c r="D9" s="82">
        <f>IF(推計!$C$3="戸建て",面積!C30,面積!J30)</f>
        <v>0</v>
      </c>
      <c r="E9" s="84" t="s">
        <v>213</v>
      </c>
      <c r="F9" s="82">
        <f>IF(推計!$C$3="戸建て",面積!D30,面積!K30)</f>
        <v>17.48</v>
      </c>
      <c r="G9" s="84" t="s">
        <v>217</v>
      </c>
      <c r="H9" s="83">
        <f>IF(推計!$C$3="戸建て",面積!E30,面積!L30)</f>
        <v>13.2</v>
      </c>
      <c r="I9" s="84" t="s">
        <v>249</v>
      </c>
      <c r="J9" s="82">
        <f>IF(推計!$C$3="戸建て",面積!$F$30,面積!$M$30)</f>
        <v>3.28</v>
      </c>
    </row>
    <row r="10" spans="1:10">
      <c r="A10" s="17"/>
      <c r="B10" s="17" t="s">
        <v>302</v>
      </c>
      <c r="C10" s="84" t="s">
        <v>304</v>
      </c>
      <c r="D10" s="82">
        <f>IF(推計!$C$3="戸建て",面積!C31,面積!J31)</f>
        <v>29.810000000000002</v>
      </c>
      <c r="E10" s="84" t="s">
        <v>308</v>
      </c>
      <c r="F10" s="82">
        <f>IF(推計!$C$3="戸建て",面積!D31,面積!L31)</f>
        <v>16.559999999999999</v>
      </c>
      <c r="G10" s="84" t="s">
        <v>309</v>
      </c>
      <c r="H10" s="82">
        <f>IF(推計!$C$3="戸建て",面積!E31,面積!N30)</f>
        <v>21.53</v>
      </c>
      <c r="I10" s="84" t="s">
        <v>243</v>
      </c>
      <c r="J10" s="82">
        <f>IF(推計!$C$3="戸建て",面積!$F$31,面積!$M$31)</f>
        <v>55.480000000000004</v>
      </c>
    </row>
    <row r="11" spans="1:10">
      <c r="A11" s="89" t="s">
        <v>11</v>
      </c>
      <c r="B11" s="4" t="s">
        <v>6</v>
      </c>
      <c r="C11" s="84" t="s">
        <v>218</v>
      </c>
      <c r="D11" s="82">
        <f>IF(推計!$C$3="戸建て",面積!C32,面積!J32)</f>
        <v>6.94</v>
      </c>
      <c r="E11" s="84" t="s">
        <v>225</v>
      </c>
      <c r="F11" s="82">
        <f>IF(推計!$C$3="戸建て",面積!D32,面積!K32)</f>
        <v>8.17</v>
      </c>
      <c r="G11" s="84" t="s">
        <v>231</v>
      </c>
      <c r="H11" s="82">
        <f>IF(推計!$C$3="戸建て",面積!E32,面積!L32)</f>
        <v>0</v>
      </c>
    </row>
    <row r="12" spans="1:10">
      <c r="A12" s="17"/>
      <c r="B12" s="4" t="s">
        <v>7</v>
      </c>
      <c r="C12" s="84" t="s">
        <v>219</v>
      </c>
      <c r="D12" s="82">
        <f>IF(推計!$C$3="戸建て",面積!C33,面積!J33)</f>
        <v>3.13</v>
      </c>
      <c r="E12" s="84" t="s">
        <v>226</v>
      </c>
      <c r="F12" s="82">
        <f>IF(推計!$C$3="戸建て",面積!D33,面積!K33)</f>
        <v>0.66</v>
      </c>
      <c r="G12" s="84" t="s">
        <v>232</v>
      </c>
      <c r="H12" s="82">
        <f>IF(推計!$C$3="戸建て",面積!E33,面積!L33)</f>
        <v>0</v>
      </c>
    </row>
    <row r="13" spans="1:10">
      <c r="A13" s="17"/>
      <c r="B13" s="4" t="s">
        <v>8</v>
      </c>
      <c r="C13" s="84" t="s">
        <v>220</v>
      </c>
      <c r="D13" s="82">
        <f>IF(推計!$C$3="戸建て",面積!C34,面積!J34)</f>
        <v>0</v>
      </c>
      <c r="E13" s="84" t="s">
        <v>227</v>
      </c>
      <c r="F13" s="82">
        <f>IF(推計!$C$3="戸建て",面積!D34,面積!K34)</f>
        <v>4.59</v>
      </c>
      <c r="G13" s="84" t="s">
        <v>233</v>
      </c>
      <c r="H13" s="82">
        <f>IF(推計!$C$3="戸建て",面積!E34,面積!L34)</f>
        <v>3.1500000000000004</v>
      </c>
    </row>
    <row r="14" spans="1:10">
      <c r="A14" s="90"/>
      <c r="B14" s="4" t="s">
        <v>9</v>
      </c>
      <c r="C14" s="84" t="s">
        <v>221</v>
      </c>
      <c r="D14" s="82">
        <f>IF(推計!$C$3="戸建て",面積!C35,面積!J35)</f>
        <v>0</v>
      </c>
      <c r="E14" s="84" t="s">
        <v>228</v>
      </c>
      <c r="F14" s="82">
        <f>IF(推計!$C$3="戸建て",面積!D35,面積!K35)</f>
        <v>0.99</v>
      </c>
      <c r="G14" s="84" t="s">
        <v>234</v>
      </c>
      <c r="H14" s="82">
        <f>IF(推計!$C$3="戸建て",面積!E35,面積!L35)</f>
        <v>1.08</v>
      </c>
    </row>
    <row r="15" spans="1:10">
      <c r="A15" s="89" t="s">
        <v>12</v>
      </c>
      <c r="B15" s="4" t="s">
        <v>8</v>
      </c>
      <c r="C15" s="84" t="s">
        <v>222</v>
      </c>
      <c r="D15" s="82">
        <f>IF(推計!$C$3="戸建て",面積!C36,面積!J36)</f>
        <v>1.62</v>
      </c>
      <c r="E15" s="84" t="s">
        <v>229</v>
      </c>
      <c r="F15" s="82">
        <f>IF(推計!$C$3="戸建て",面積!D36,面積!K36)</f>
        <v>0</v>
      </c>
      <c r="G15" s="84" t="s">
        <v>235</v>
      </c>
      <c r="H15" s="82">
        <f>IF(推計!$C$3="戸建て",面積!E36,面積!L36)</f>
        <v>0</v>
      </c>
    </row>
    <row r="16" spans="1:10">
      <c r="A16" s="90"/>
      <c r="B16" s="4" t="s">
        <v>9</v>
      </c>
      <c r="C16" s="84" t="s">
        <v>223</v>
      </c>
      <c r="D16" s="82">
        <f>IF(推計!$C$3="戸建て",面積!C37,面積!J37)</f>
        <v>0</v>
      </c>
      <c r="E16" s="84" t="s">
        <v>230</v>
      </c>
      <c r="F16" s="82">
        <f>IF(推計!$C$3="戸建て",面積!D37,面積!K37)</f>
        <v>0</v>
      </c>
      <c r="G16" s="84" t="s">
        <v>236</v>
      </c>
      <c r="H16" s="82">
        <f>IF(推計!$C$3="戸建て",面積!E37,面積!L37)</f>
        <v>1.89</v>
      </c>
    </row>
    <row r="17" spans="1:13">
      <c r="A17" s="89" t="s">
        <v>13</v>
      </c>
      <c r="B17" s="26" t="s">
        <v>80</v>
      </c>
      <c r="C17" s="5"/>
      <c r="D17" s="5"/>
      <c r="E17" s="5"/>
      <c r="F17" s="5"/>
      <c r="G17" s="5"/>
      <c r="H17" s="5"/>
    </row>
    <row r="18" spans="1:13">
      <c r="A18" s="17"/>
      <c r="B18" s="27" t="s">
        <v>77</v>
      </c>
      <c r="C18" s="85" t="s">
        <v>237</v>
      </c>
      <c r="D18" s="24">
        <f>IF(推計!$C$3="戸建て",面積!C39,面積!J39)</f>
        <v>8.64</v>
      </c>
      <c r="E18" s="5"/>
      <c r="F18" s="5"/>
      <c r="G18" s="5"/>
      <c r="H18" s="5"/>
    </row>
    <row r="19" spans="1:13">
      <c r="A19" s="17"/>
      <c r="B19" s="27" t="s">
        <v>78</v>
      </c>
      <c r="C19" s="85" t="s">
        <v>238</v>
      </c>
      <c r="D19" s="66">
        <f>IF(推計!$C$3="戸建て",面積!C40,面積!J40)</f>
        <v>17.2</v>
      </c>
      <c r="E19" s="85" t="s">
        <v>239</v>
      </c>
      <c r="F19" s="24">
        <f>IF(推計!$C$3="戸建て",面積!D40,面積!K40)</f>
        <v>29.509999999999998</v>
      </c>
      <c r="G19" s="5"/>
      <c r="H19" s="5"/>
    </row>
    <row r="20" spans="1:13">
      <c r="A20" s="90"/>
      <c r="B20" s="27" t="s">
        <v>201</v>
      </c>
      <c r="C20" s="85" t="s">
        <v>240</v>
      </c>
      <c r="D20" s="24">
        <f>IF(推計!$C$3="戸建て",面積!C41,面積!J41)</f>
        <v>34.78</v>
      </c>
      <c r="E20" s="85" t="s">
        <v>241</v>
      </c>
      <c r="F20" s="24">
        <f>IF(推計!$C$3="戸建て",面積!D41,面積!K41)</f>
        <v>0</v>
      </c>
      <c r="G20" s="85" t="s">
        <v>242</v>
      </c>
      <c r="H20" s="66">
        <f>IF(推計!$C$3="戸建て",面積!E41,面積!L41)</f>
        <v>20.7</v>
      </c>
    </row>
    <row r="22" spans="1:13">
      <c r="A22" s="7" t="s">
        <v>176</v>
      </c>
      <c r="H22" s="7" t="s">
        <v>177</v>
      </c>
    </row>
    <row r="23" spans="1:13">
      <c r="A23" s="34" t="s">
        <v>181</v>
      </c>
      <c r="H23" s="34" t="s">
        <v>182</v>
      </c>
    </row>
    <row r="24" spans="1:13" ht="36">
      <c r="A24" s="202" t="s">
        <v>128</v>
      </c>
      <c r="B24" s="202"/>
      <c r="C24" s="59" t="s">
        <v>47</v>
      </c>
      <c r="D24" s="60" t="s">
        <v>79</v>
      </c>
      <c r="E24" s="60" t="s">
        <v>78</v>
      </c>
      <c r="F24" s="75" t="s">
        <v>200</v>
      </c>
      <c r="H24" s="61" t="s">
        <v>128</v>
      </c>
      <c r="I24" s="61"/>
      <c r="J24" s="59" t="s">
        <v>47</v>
      </c>
      <c r="K24" s="60" t="s">
        <v>79</v>
      </c>
      <c r="L24" s="60" t="s">
        <v>78</v>
      </c>
      <c r="M24" s="60" t="s">
        <v>200</v>
      </c>
    </row>
    <row r="25" spans="1:13">
      <c r="A25" t="s">
        <v>310</v>
      </c>
      <c r="C25">
        <f>C26+C31</f>
        <v>29.810000000000002</v>
      </c>
      <c r="D25">
        <f>D26+D31</f>
        <v>51.349999999999994</v>
      </c>
      <c r="E25">
        <f>E26+E31</f>
        <v>38.93</v>
      </c>
      <c r="H25" t="s">
        <v>310</v>
      </c>
      <c r="J25">
        <f>J26</f>
        <v>24.23</v>
      </c>
      <c r="K25">
        <f>K26</f>
        <v>29.75</v>
      </c>
      <c r="L25">
        <f>L26</f>
        <v>16.02</v>
      </c>
    </row>
    <row r="26" spans="1:13">
      <c r="A26" s="89" t="s">
        <v>5</v>
      </c>
      <c r="B26" s="4" t="s">
        <v>303</v>
      </c>
      <c r="C26" s="24">
        <f t="shared" ref="C26:C31" si="0">SUM(C46:D46)</f>
        <v>0</v>
      </c>
      <c r="D26" s="24">
        <f t="shared" ref="D26:D31" si="1">SUM(E46:H46)</f>
        <v>34.79</v>
      </c>
      <c r="E26" s="24">
        <f t="shared" ref="E26:E31" si="2">SUM(I46:O46)</f>
        <v>17.399999999999999</v>
      </c>
      <c r="F26" s="2">
        <v>0</v>
      </c>
      <c r="H26" s="89" t="s">
        <v>5</v>
      </c>
      <c r="I26" s="4" t="s">
        <v>303</v>
      </c>
      <c r="J26" s="24">
        <f>SUM(C80)</f>
        <v>24.23</v>
      </c>
      <c r="K26" s="24">
        <f>SUM(D80:F80)</f>
        <v>29.75</v>
      </c>
      <c r="L26" s="24">
        <f>SUM(G80:J80)</f>
        <v>16.02</v>
      </c>
      <c r="M26" s="5"/>
    </row>
    <row r="27" spans="1:13">
      <c r="A27" s="17"/>
      <c r="B27" s="4" t="s">
        <v>6</v>
      </c>
      <c r="C27" s="24">
        <f t="shared" si="0"/>
        <v>14.21</v>
      </c>
      <c r="D27" s="24">
        <f t="shared" si="1"/>
        <v>29.259999999999998</v>
      </c>
      <c r="E27" s="24">
        <f t="shared" si="2"/>
        <v>0</v>
      </c>
      <c r="F27" s="2">
        <v>2.91</v>
      </c>
      <c r="H27" s="17"/>
      <c r="I27" s="4" t="s">
        <v>6</v>
      </c>
      <c r="J27" s="66">
        <f>SUM(C81)</f>
        <v>9.516</v>
      </c>
      <c r="K27" s="66">
        <f>SUM(D81:F81)</f>
        <v>6.4480000000000004</v>
      </c>
      <c r="L27" s="24">
        <f>SUM(G81:J81)</f>
        <v>0</v>
      </c>
      <c r="M27" s="5"/>
    </row>
    <row r="28" spans="1:13">
      <c r="A28" s="17"/>
      <c r="B28" s="4" t="s">
        <v>7</v>
      </c>
      <c r="C28" s="66">
        <f t="shared" si="0"/>
        <v>17.200000000000003</v>
      </c>
      <c r="D28" s="24">
        <f t="shared" si="1"/>
        <v>8.74</v>
      </c>
      <c r="E28" s="24">
        <f t="shared" si="2"/>
        <v>4.3600000000000003</v>
      </c>
      <c r="F28" s="2">
        <v>3.28</v>
      </c>
      <c r="H28" s="17"/>
      <c r="I28" s="4" t="s">
        <v>7</v>
      </c>
      <c r="J28" s="24">
        <f>SUM(C82)</f>
        <v>0</v>
      </c>
      <c r="K28" s="66">
        <f>SUM(D82:F82)</f>
        <v>21.593</v>
      </c>
      <c r="L28" s="66">
        <f>SUM(G82:J82)</f>
        <v>8.0470000000000006</v>
      </c>
      <c r="M28" s="5"/>
    </row>
    <row r="29" spans="1:13">
      <c r="A29" s="17"/>
      <c r="B29" s="4" t="s">
        <v>8</v>
      </c>
      <c r="C29" s="24">
        <f t="shared" si="0"/>
        <v>5.12</v>
      </c>
      <c r="D29" s="24">
        <f t="shared" si="1"/>
        <v>6.77</v>
      </c>
      <c r="E29" s="24">
        <f t="shared" si="2"/>
        <v>39.08</v>
      </c>
      <c r="F29" s="2">
        <v>2.91</v>
      </c>
      <c r="H29" s="17"/>
      <c r="I29" s="4" t="s">
        <v>8</v>
      </c>
      <c r="J29" s="24">
        <f>SUM(C83)</f>
        <v>0</v>
      </c>
      <c r="K29" s="66">
        <f>SUM(D83:F83)</f>
        <v>11.804</v>
      </c>
      <c r="L29" s="24">
        <f>SUM(G83:J83)</f>
        <v>4.16</v>
      </c>
      <c r="M29" s="5"/>
    </row>
    <row r="30" spans="1:13">
      <c r="A30" s="17"/>
      <c r="B30" s="4" t="s">
        <v>9</v>
      </c>
      <c r="C30" s="24">
        <f t="shared" si="0"/>
        <v>0</v>
      </c>
      <c r="D30" s="24">
        <f t="shared" si="1"/>
        <v>17.48</v>
      </c>
      <c r="E30" s="66">
        <f t="shared" si="2"/>
        <v>13.2</v>
      </c>
      <c r="F30" s="2">
        <v>3.28</v>
      </c>
      <c r="H30" s="17"/>
      <c r="I30" s="4" t="s">
        <v>9</v>
      </c>
      <c r="J30" s="66">
        <f>SUM(C84)</f>
        <v>17.212</v>
      </c>
      <c r="K30" s="66">
        <f>SUM(D84:F84)</f>
        <v>10.061999999999999</v>
      </c>
      <c r="L30" s="66">
        <f>SUM(G84:J84)</f>
        <v>2.3660000000000001</v>
      </c>
      <c r="M30" s="5"/>
    </row>
    <row r="31" spans="1:13">
      <c r="A31" s="17"/>
      <c r="B31" s="4" t="s">
        <v>302</v>
      </c>
      <c r="C31" s="24">
        <f t="shared" si="0"/>
        <v>29.810000000000002</v>
      </c>
      <c r="D31" s="24">
        <f t="shared" si="1"/>
        <v>16.559999999999999</v>
      </c>
      <c r="E31" s="24">
        <f t="shared" si="2"/>
        <v>21.53</v>
      </c>
      <c r="F31" s="2">
        <f>SUM(C41:E41)</f>
        <v>55.480000000000004</v>
      </c>
      <c r="H31" s="17"/>
      <c r="I31" s="4" t="s">
        <v>302</v>
      </c>
      <c r="J31" s="81">
        <f>J26</f>
        <v>24.23</v>
      </c>
      <c r="K31" s="81">
        <f>K26</f>
        <v>29.75</v>
      </c>
      <c r="L31" s="81">
        <f>L26</f>
        <v>16.02</v>
      </c>
      <c r="M31" s="5"/>
    </row>
    <row r="32" spans="1:13">
      <c r="A32" s="89" t="s">
        <v>11</v>
      </c>
      <c r="B32" s="4" t="s">
        <v>6</v>
      </c>
      <c r="C32" s="24">
        <f t="shared" ref="C32:C37" si="3">SUM(C56:D56)</f>
        <v>6.94</v>
      </c>
      <c r="D32" s="24">
        <f t="shared" ref="D32:D37" si="4">SUM(E56:H56)</f>
        <v>8.17</v>
      </c>
      <c r="E32" s="24">
        <f t="shared" ref="E32:E37" si="5">SUM(I56:O56)</f>
        <v>0</v>
      </c>
      <c r="F32" s="5"/>
      <c r="H32" s="89" t="s">
        <v>11</v>
      </c>
      <c r="I32" s="4" t="s">
        <v>6</v>
      </c>
      <c r="J32" s="24">
        <f t="shared" ref="J32:J37" si="6">SUM(C86)</f>
        <v>4.5199999999999996</v>
      </c>
      <c r="K32" s="24">
        <f t="shared" ref="K32:K37" si="7">SUM(D86:F86)</f>
        <v>3.24</v>
      </c>
      <c r="L32" s="24">
        <f t="shared" ref="L32:L37" si="8">SUM(G86:J86)</f>
        <v>0</v>
      </c>
      <c r="M32" s="5"/>
    </row>
    <row r="33" spans="1:20">
      <c r="A33" s="17"/>
      <c r="B33" s="4" t="s">
        <v>7</v>
      </c>
      <c r="C33" s="24">
        <f t="shared" si="3"/>
        <v>3.13</v>
      </c>
      <c r="D33" s="24">
        <f t="shared" si="4"/>
        <v>0.66</v>
      </c>
      <c r="E33" s="24">
        <f t="shared" si="5"/>
        <v>0</v>
      </c>
      <c r="F33" s="5"/>
      <c r="H33" s="17"/>
      <c r="I33" s="4" t="s">
        <v>7</v>
      </c>
      <c r="J33" s="24">
        <f t="shared" si="6"/>
        <v>0</v>
      </c>
      <c r="K33" s="24">
        <f t="shared" si="7"/>
        <v>0</v>
      </c>
      <c r="L33" s="24">
        <f t="shared" si="8"/>
        <v>0</v>
      </c>
      <c r="M33" s="5"/>
    </row>
    <row r="34" spans="1:20">
      <c r="A34" s="17"/>
      <c r="B34" s="4" t="s">
        <v>8</v>
      </c>
      <c r="C34" s="24">
        <f t="shared" si="3"/>
        <v>0</v>
      </c>
      <c r="D34" s="24">
        <f t="shared" si="4"/>
        <v>4.59</v>
      </c>
      <c r="E34" s="24">
        <f t="shared" si="5"/>
        <v>3.1500000000000004</v>
      </c>
      <c r="F34" s="5"/>
      <c r="H34" s="17"/>
      <c r="I34" s="4" t="s">
        <v>8</v>
      </c>
      <c r="J34" s="24">
        <f t="shared" si="6"/>
        <v>0</v>
      </c>
      <c r="K34" s="24">
        <f t="shared" si="7"/>
        <v>2.5300000000000002</v>
      </c>
      <c r="L34" s="24">
        <f t="shared" si="8"/>
        <v>0</v>
      </c>
      <c r="M34" s="5"/>
    </row>
    <row r="35" spans="1:20">
      <c r="A35" s="90"/>
      <c r="B35" s="4" t="s">
        <v>9</v>
      </c>
      <c r="C35" s="24">
        <f t="shared" si="3"/>
        <v>0</v>
      </c>
      <c r="D35" s="24">
        <f t="shared" si="4"/>
        <v>0.99</v>
      </c>
      <c r="E35" s="24">
        <f t="shared" si="5"/>
        <v>1.08</v>
      </c>
      <c r="F35" s="5"/>
      <c r="H35" s="90"/>
      <c r="I35" s="4" t="s">
        <v>9</v>
      </c>
      <c r="J35" s="24">
        <f t="shared" si="6"/>
        <v>0</v>
      </c>
      <c r="K35" s="24">
        <f t="shared" si="7"/>
        <v>0</v>
      </c>
      <c r="L35" s="24">
        <f t="shared" si="8"/>
        <v>0</v>
      </c>
      <c r="M35" s="5"/>
    </row>
    <row r="36" spans="1:20">
      <c r="A36" s="89" t="s">
        <v>12</v>
      </c>
      <c r="B36" s="4" t="s">
        <v>8</v>
      </c>
      <c r="C36" s="24">
        <f t="shared" si="3"/>
        <v>1.62</v>
      </c>
      <c r="D36" s="24">
        <f t="shared" si="4"/>
        <v>0</v>
      </c>
      <c r="E36" s="24">
        <f t="shared" si="5"/>
        <v>0</v>
      </c>
      <c r="F36" s="5"/>
      <c r="H36" s="89" t="s">
        <v>12</v>
      </c>
      <c r="I36" s="4" t="s">
        <v>8</v>
      </c>
      <c r="J36" s="24">
        <f t="shared" si="6"/>
        <v>0</v>
      </c>
      <c r="K36" s="24">
        <f t="shared" si="7"/>
        <v>0</v>
      </c>
      <c r="L36" s="66">
        <f t="shared" si="8"/>
        <v>1.7549999999999999</v>
      </c>
      <c r="M36" s="5"/>
    </row>
    <row r="37" spans="1:20">
      <c r="A37" s="90"/>
      <c r="B37" s="4" t="s">
        <v>9</v>
      </c>
      <c r="C37" s="24">
        <f t="shared" si="3"/>
        <v>0</v>
      </c>
      <c r="D37" s="24">
        <f t="shared" si="4"/>
        <v>0</v>
      </c>
      <c r="E37" s="24">
        <f t="shared" si="5"/>
        <v>1.89</v>
      </c>
      <c r="F37" s="5"/>
      <c r="H37" s="90"/>
      <c r="I37" s="4" t="s">
        <v>9</v>
      </c>
      <c r="J37" s="24">
        <f t="shared" si="6"/>
        <v>0</v>
      </c>
      <c r="K37" s="24">
        <f t="shared" si="7"/>
        <v>0</v>
      </c>
      <c r="L37" s="24">
        <f t="shared" si="8"/>
        <v>0</v>
      </c>
      <c r="M37" s="5"/>
    </row>
    <row r="38" spans="1:20">
      <c r="A38" s="77" t="s">
        <v>13</v>
      </c>
      <c r="B38" s="26" t="s">
        <v>80</v>
      </c>
      <c r="C38" s="5"/>
      <c r="D38" s="5"/>
      <c r="E38" s="5"/>
      <c r="F38" s="5"/>
      <c r="H38" s="77" t="s">
        <v>13</v>
      </c>
      <c r="I38" s="26" t="s">
        <v>80</v>
      </c>
      <c r="J38" s="5"/>
      <c r="K38" s="5"/>
      <c r="L38" s="5"/>
      <c r="M38" s="5"/>
    </row>
    <row r="39" spans="1:20">
      <c r="A39" s="78"/>
      <c r="B39" s="27" t="s">
        <v>77</v>
      </c>
      <c r="C39" s="2">
        <f>SUM(C64:D67)</f>
        <v>8.64</v>
      </c>
      <c r="D39" s="5"/>
      <c r="E39" s="5"/>
      <c r="F39" s="5"/>
      <c r="H39" s="78"/>
      <c r="I39" s="27" t="s">
        <v>77</v>
      </c>
      <c r="J39" s="44">
        <f>SUM(C93:C95)</f>
        <v>12.529</v>
      </c>
      <c r="K39" s="70"/>
      <c r="L39" s="5"/>
      <c r="M39" s="5"/>
    </row>
    <row r="40" spans="1:20">
      <c r="A40" s="78"/>
      <c r="B40" s="27" t="s">
        <v>78</v>
      </c>
      <c r="C40" s="44">
        <f>SUM(C68:D74)</f>
        <v>17.2</v>
      </c>
      <c r="D40" s="2">
        <f>SUM(E68:H74)</f>
        <v>29.509999999999998</v>
      </c>
      <c r="E40" s="5"/>
      <c r="F40" s="5"/>
      <c r="H40" s="78"/>
      <c r="I40" s="27" t="s">
        <v>78</v>
      </c>
      <c r="J40" s="44">
        <f>SUM(C96:C99)</f>
        <v>16.185000000000002</v>
      </c>
      <c r="K40" s="44">
        <f>SUM(D96:F99)</f>
        <v>40.508000000000003</v>
      </c>
      <c r="L40" s="5"/>
      <c r="M40" s="5"/>
    </row>
    <row r="41" spans="1:20">
      <c r="A41" s="79"/>
      <c r="B41" s="76" t="s">
        <v>201</v>
      </c>
      <c r="C41" s="2">
        <v>34.78</v>
      </c>
      <c r="D41" s="2">
        <v>0</v>
      </c>
      <c r="E41" s="2">
        <v>20.7</v>
      </c>
      <c r="F41" s="5"/>
      <c r="H41" s="79"/>
      <c r="I41" s="27" t="s">
        <v>201</v>
      </c>
      <c r="J41" s="5"/>
      <c r="K41" s="5"/>
      <c r="L41" s="5"/>
      <c r="M41" s="5"/>
    </row>
    <row r="43" spans="1:20">
      <c r="A43" s="7" t="s">
        <v>163</v>
      </c>
      <c r="C43" t="s">
        <v>186</v>
      </c>
    </row>
    <row r="44" spans="1:20">
      <c r="C44" s="204" t="s">
        <v>47</v>
      </c>
      <c r="D44" s="205"/>
      <c r="E44" s="204" t="s">
        <v>48</v>
      </c>
      <c r="F44" s="203"/>
      <c r="G44" s="203"/>
      <c r="H44" s="205"/>
      <c r="I44" s="204" t="s">
        <v>16</v>
      </c>
      <c r="J44" s="203"/>
      <c r="K44" s="203"/>
      <c r="L44" s="203"/>
      <c r="M44" s="203"/>
      <c r="N44" s="203"/>
      <c r="O44" s="205"/>
    </row>
    <row r="45" spans="1:20">
      <c r="A45" s="188"/>
      <c r="B45" s="189"/>
      <c r="C45" s="3" t="s">
        <v>148</v>
      </c>
      <c r="D45" s="3" t="s">
        <v>149</v>
      </c>
      <c r="E45" s="3" t="s">
        <v>135</v>
      </c>
      <c r="F45" s="3" t="s">
        <v>0</v>
      </c>
      <c r="G45" s="3" t="s">
        <v>1</v>
      </c>
      <c r="H45" s="3" t="s">
        <v>2</v>
      </c>
      <c r="I45" s="3" t="s">
        <v>153</v>
      </c>
      <c r="J45" s="3" t="s">
        <v>154</v>
      </c>
      <c r="K45" s="3" t="s">
        <v>3</v>
      </c>
      <c r="L45" s="3" t="s">
        <v>4</v>
      </c>
      <c r="M45" s="3" t="s">
        <v>157</v>
      </c>
      <c r="N45" s="3" t="s">
        <v>155</v>
      </c>
      <c r="O45" s="3" t="s">
        <v>156</v>
      </c>
      <c r="R45" s="56" t="s">
        <v>151</v>
      </c>
      <c r="S45" s="54" t="s">
        <v>134</v>
      </c>
      <c r="T45" s="55">
        <v>16.559999999999999</v>
      </c>
    </row>
    <row r="46" spans="1:20">
      <c r="A46" s="89" t="s">
        <v>5</v>
      </c>
      <c r="B46" s="18" t="s">
        <v>303</v>
      </c>
      <c r="C46" s="2"/>
      <c r="D46" s="2"/>
      <c r="E46" s="2"/>
      <c r="F46" s="2">
        <v>13.25</v>
      </c>
      <c r="G46" s="2">
        <v>10.77</v>
      </c>
      <c r="H46" s="2">
        <v>10.77</v>
      </c>
      <c r="I46" s="2"/>
      <c r="J46" s="2">
        <v>1.66</v>
      </c>
      <c r="K46" s="2"/>
      <c r="L46" s="2"/>
      <c r="M46" s="2">
        <v>4.97</v>
      </c>
      <c r="N46" s="2"/>
      <c r="O46" s="2">
        <v>10.77</v>
      </c>
      <c r="R46" s="56" t="s">
        <v>150</v>
      </c>
      <c r="S46" s="54" t="s">
        <v>136</v>
      </c>
      <c r="T46" s="55">
        <v>21.53</v>
      </c>
    </row>
    <row r="47" spans="1:20">
      <c r="A47" s="17"/>
      <c r="B47" s="4" t="s">
        <v>6</v>
      </c>
      <c r="C47" s="2">
        <f t="shared" ref="C47:O47" si="9">C52+C56</f>
        <v>14.21</v>
      </c>
      <c r="D47" s="2">
        <f t="shared" si="9"/>
        <v>0</v>
      </c>
      <c r="E47" s="2">
        <f t="shared" si="9"/>
        <v>6.33</v>
      </c>
      <c r="F47" s="2">
        <f t="shared" si="9"/>
        <v>8.73</v>
      </c>
      <c r="G47" s="2">
        <f t="shared" si="9"/>
        <v>7.1</v>
      </c>
      <c r="H47" s="2">
        <f t="shared" si="9"/>
        <v>7.1</v>
      </c>
      <c r="I47" s="2">
        <f t="shared" si="9"/>
        <v>0</v>
      </c>
      <c r="J47" s="2">
        <f t="shared" si="9"/>
        <v>0</v>
      </c>
      <c r="K47" s="2">
        <f t="shared" si="9"/>
        <v>0</v>
      </c>
      <c r="L47" s="2">
        <f t="shared" si="9"/>
        <v>0</v>
      </c>
      <c r="M47" s="2">
        <f t="shared" si="9"/>
        <v>0</v>
      </c>
      <c r="N47" s="2">
        <f t="shared" si="9"/>
        <v>0</v>
      </c>
      <c r="O47" s="2">
        <f t="shared" si="9"/>
        <v>0</v>
      </c>
      <c r="R47" s="56" t="s">
        <v>150</v>
      </c>
      <c r="S47" s="54" t="s">
        <v>137</v>
      </c>
      <c r="T47" s="55">
        <v>8.2799999999999994</v>
      </c>
    </row>
    <row r="48" spans="1:20">
      <c r="A48" s="17"/>
      <c r="B48" s="4" t="s">
        <v>7</v>
      </c>
      <c r="C48" s="2">
        <f t="shared" ref="C48:O48" si="10">C53+C57</f>
        <v>8.74</v>
      </c>
      <c r="D48" s="2">
        <f t="shared" si="10"/>
        <v>8.4600000000000009</v>
      </c>
      <c r="E48" s="2">
        <f t="shared" si="10"/>
        <v>0</v>
      </c>
      <c r="F48" s="2">
        <f t="shared" si="10"/>
        <v>0</v>
      </c>
      <c r="G48" s="2">
        <f t="shared" si="10"/>
        <v>0</v>
      </c>
      <c r="H48" s="2">
        <f t="shared" si="10"/>
        <v>8.74</v>
      </c>
      <c r="I48" s="2">
        <f t="shared" si="10"/>
        <v>0</v>
      </c>
      <c r="J48" s="2">
        <f t="shared" si="10"/>
        <v>2.1800000000000002</v>
      </c>
      <c r="K48" s="2">
        <f t="shared" si="10"/>
        <v>0</v>
      </c>
      <c r="L48" s="2">
        <f t="shared" si="10"/>
        <v>0</v>
      </c>
      <c r="M48" s="2">
        <f t="shared" si="10"/>
        <v>0</v>
      </c>
      <c r="N48" s="2">
        <f t="shared" si="10"/>
        <v>0</v>
      </c>
      <c r="O48" s="2">
        <f t="shared" si="10"/>
        <v>2.1800000000000002</v>
      </c>
      <c r="R48" s="56" t="s">
        <v>152</v>
      </c>
      <c r="S48" s="54" t="s">
        <v>138</v>
      </c>
      <c r="T48" s="55">
        <v>3.31</v>
      </c>
    </row>
    <row r="49" spans="1:20">
      <c r="A49" s="17"/>
      <c r="B49" s="4" t="s">
        <v>8</v>
      </c>
      <c r="C49" s="2">
        <f t="shared" ref="C49:O49" si="11">C54+C58+C60</f>
        <v>0</v>
      </c>
      <c r="D49" s="2">
        <f t="shared" si="11"/>
        <v>5.12</v>
      </c>
      <c r="E49" s="2">
        <f t="shared" si="11"/>
        <v>6.77</v>
      </c>
      <c r="F49" s="2">
        <f t="shared" si="11"/>
        <v>0</v>
      </c>
      <c r="G49" s="2">
        <f t="shared" si="11"/>
        <v>0</v>
      </c>
      <c r="H49" s="2">
        <f t="shared" si="11"/>
        <v>0</v>
      </c>
      <c r="I49" s="2">
        <f t="shared" si="11"/>
        <v>2.0499999999999998</v>
      </c>
      <c r="J49" s="2">
        <f t="shared" si="11"/>
        <v>4.12</v>
      </c>
      <c r="K49" s="2">
        <f t="shared" si="11"/>
        <v>4.0999999999999996</v>
      </c>
      <c r="L49" s="2">
        <f t="shared" si="11"/>
        <v>4.0999999999999996</v>
      </c>
      <c r="M49" s="2">
        <f t="shared" si="11"/>
        <v>6.55</v>
      </c>
      <c r="N49" s="2">
        <f t="shared" si="11"/>
        <v>6.83</v>
      </c>
      <c r="O49" s="2">
        <f t="shared" si="11"/>
        <v>11.33</v>
      </c>
      <c r="R49" s="56" t="s">
        <v>152</v>
      </c>
      <c r="S49" s="54" t="s">
        <v>139</v>
      </c>
      <c r="T49" s="55">
        <v>1.66</v>
      </c>
    </row>
    <row r="50" spans="1:20">
      <c r="A50" s="17"/>
      <c r="B50" s="4" t="s">
        <v>9</v>
      </c>
      <c r="C50" s="2">
        <f t="shared" ref="C50:O50" si="12">C55+C59+C61</f>
        <v>0</v>
      </c>
      <c r="D50" s="2">
        <f t="shared" si="12"/>
        <v>0</v>
      </c>
      <c r="E50" s="2">
        <f t="shared" si="12"/>
        <v>8.74</v>
      </c>
      <c r="F50" s="2">
        <f t="shared" si="12"/>
        <v>8.74</v>
      </c>
      <c r="G50" s="2">
        <f t="shared" si="12"/>
        <v>0</v>
      </c>
      <c r="H50" s="2">
        <f t="shared" si="12"/>
        <v>0</v>
      </c>
      <c r="I50" s="2">
        <f t="shared" si="12"/>
        <v>0</v>
      </c>
      <c r="J50" s="2">
        <f t="shared" si="12"/>
        <v>0</v>
      </c>
      <c r="K50" s="2">
        <f t="shared" si="12"/>
        <v>0</v>
      </c>
      <c r="L50" s="2">
        <f t="shared" si="12"/>
        <v>4.0999999999999996</v>
      </c>
      <c r="M50" s="2">
        <f t="shared" si="12"/>
        <v>4.37</v>
      </c>
      <c r="N50" s="2">
        <f t="shared" si="12"/>
        <v>4.7299999999999995</v>
      </c>
      <c r="O50" s="2">
        <f t="shared" si="12"/>
        <v>0</v>
      </c>
      <c r="R50" s="56" t="s">
        <v>152</v>
      </c>
      <c r="S50" s="54" t="s">
        <v>140</v>
      </c>
      <c r="T50" s="55">
        <v>3.31</v>
      </c>
    </row>
    <row r="51" spans="1:20" ht="18" customHeight="1">
      <c r="A51" s="90"/>
      <c r="B51" s="17" t="s">
        <v>302</v>
      </c>
      <c r="C51" s="2">
        <v>21.53</v>
      </c>
      <c r="D51" s="2">
        <v>8.2799999999999994</v>
      </c>
      <c r="E51" s="2">
        <v>16.559999999999999</v>
      </c>
      <c r="F51" s="2"/>
      <c r="G51" s="2"/>
      <c r="H51" s="2"/>
      <c r="I51" s="2">
        <v>1.66</v>
      </c>
      <c r="J51" s="2"/>
      <c r="K51" s="2">
        <v>3.31</v>
      </c>
      <c r="L51" s="2">
        <v>3.31</v>
      </c>
      <c r="M51" s="2"/>
      <c r="N51" s="2">
        <v>13.25</v>
      </c>
      <c r="O51" s="2"/>
      <c r="R51" s="56" t="s">
        <v>152</v>
      </c>
      <c r="S51" s="54" t="s">
        <v>141</v>
      </c>
      <c r="T51" s="55">
        <v>13.25</v>
      </c>
    </row>
    <row r="52" spans="1:20" ht="18" customHeight="1">
      <c r="A52" s="89" t="s">
        <v>26</v>
      </c>
      <c r="B52" s="4" t="s">
        <v>6</v>
      </c>
      <c r="C52" s="2">
        <v>7.27</v>
      </c>
      <c r="D52" s="2"/>
      <c r="E52" s="2">
        <v>6.33</v>
      </c>
      <c r="F52" s="2">
        <v>7</v>
      </c>
      <c r="G52" s="2">
        <v>3.88</v>
      </c>
      <c r="H52" s="2">
        <v>3.88</v>
      </c>
      <c r="I52" s="2"/>
      <c r="J52" s="2"/>
      <c r="K52" s="2"/>
      <c r="L52" s="2"/>
      <c r="M52" s="2"/>
      <c r="N52" s="2"/>
      <c r="O52" s="2"/>
      <c r="R52" s="56" t="s">
        <v>152</v>
      </c>
      <c r="S52" s="54" t="s">
        <v>142</v>
      </c>
      <c r="T52" s="55">
        <v>4.97</v>
      </c>
    </row>
    <row r="53" spans="1:20">
      <c r="A53" s="17"/>
      <c r="B53" s="4" t="s">
        <v>7</v>
      </c>
      <c r="C53" s="2">
        <v>6.59</v>
      </c>
      <c r="D53" s="2">
        <v>7.48</v>
      </c>
      <c r="E53" s="2"/>
      <c r="F53" s="2"/>
      <c r="G53" s="2"/>
      <c r="H53" s="2">
        <v>8.08</v>
      </c>
      <c r="I53" s="2"/>
      <c r="J53" s="2">
        <v>2.1800000000000002</v>
      </c>
      <c r="K53" s="2"/>
      <c r="L53" s="2"/>
      <c r="M53" s="2"/>
      <c r="N53" s="2"/>
      <c r="O53" s="2">
        <v>2.1800000000000002</v>
      </c>
      <c r="R53" s="56" t="s">
        <v>151</v>
      </c>
      <c r="S53" s="54" t="s">
        <v>143</v>
      </c>
      <c r="T53" s="55">
        <v>13.25</v>
      </c>
    </row>
    <row r="54" spans="1:20">
      <c r="A54" s="17"/>
      <c r="B54" s="4" t="s">
        <v>8</v>
      </c>
      <c r="C54" s="2"/>
      <c r="D54" s="2">
        <v>3.5</v>
      </c>
      <c r="E54" s="2">
        <v>2.1800000000000002</v>
      </c>
      <c r="F54" s="2"/>
      <c r="G54" s="2"/>
      <c r="H54" s="2"/>
      <c r="I54" s="2">
        <v>1.51</v>
      </c>
      <c r="J54" s="2">
        <v>3.58</v>
      </c>
      <c r="K54" s="2">
        <v>3.56</v>
      </c>
      <c r="L54" s="2">
        <v>4.0999999999999996</v>
      </c>
      <c r="M54" s="2">
        <v>6.55</v>
      </c>
      <c r="N54" s="2">
        <f>3.55+2.74</f>
        <v>6.29</v>
      </c>
      <c r="O54" s="2">
        <v>10.34</v>
      </c>
      <c r="R54" s="56" t="s">
        <v>151</v>
      </c>
      <c r="S54" s="54" t="s">
        <v>144</v>
      </c>
      <c r="T54" s="55">
        <v>10.76</v>
      </c>
    </row>
    <row r="55" spans="1:20">
      <c r="A55" s="90"/>
      <c r="B55" s="4" t="s">
        <v>9</v>
      </c>
      <c r="C55" s="2"/>
      <c r="D55" s="2"/>
      <c r="E55" s="2">
        <v>8.74</v>
      </c>
      <c r="F55" s="2">
        <v>7.75</v>
      </c>
      <c r="G55" s="2"/>
      <c r="H55" s="2"/>
      <c r="I55" s="2"/>
      <c r="J55" s="2"/>
      <c r="K55" s="2"/>
      <c r="L55" s="2">
        <v>3.56</v>
      </c>
      <c r="M55" s="2">
        <v>3.83</v>
      </c>
      <c r="N55" s="2">
        <v>2.84</v>
      </c>
      <c r="O55" s="2"/>
      <c r="R55" s="56" t="s">
        <v>151</v>
      </c>
      <c r="S55" s="54" t="s">
        <v>145</v>
      </c>
      <c r="T55" s="55">
        <v>10.77</v>
      </c>
    </row>
    <row r="56" spans="1:20">
      <c r="A56" s="89" t="s">
        <v>11</v>
      </c>
      <c r="B56" s="4" t="s">
        <v>6</v>
      </c>
      <c r="C56" s="2">
        <f>3.47*2</f>
        <v>6.94</v>
      </c>
      <c r="D56" s="2"/>
      <c r="E56" s="2"/>
      <c r="F56" s="2">
        <v>1.73</v>
      </c>
      <c r="G56" s="2">
        <v>3.22</v>
      </c>
      <c r="H56" s="2">
        <v>3.22</v>
      </c>
      <c r="I56" s="2"/>
      <c r="J56" s="2"/>
      <c r="K56" s="2"/>
      <c r="L56" s="2"/>
      <c r="M56" s="2"/>
      <c r="N56" s="2"/>
      <c r="O56" s="2"/>
      <c r="R56" s="56" t="s">
        <v>152</v>
      </c>
      <c r="S56" s="54" t="s">
        <v>146</v>
      </c>
      <c r="T56" s="55">
        <v>10.77</v>
      </c>
    </row>
    <row r="57" spans="1:20">
      <c r="A57" s="17"/>
      <c r="B57" s="4" t="s">
        <v>7</v>
      </c>
      <c r="C57" s="2">
        <v>2.15</v>
      </c>
      <c r="D57" s="2">
        <v>0.98</v>
      </c>
      <c r="E57" s="2"/>
      <c r="F57" s="2"/>
      <c r="G57" s="2"/>
      <c r="H57" s="2">
        <v>0.66</v>
      </c>
      <c r="I57" s="2"/>
      <c r="J57" s="2"/>
      <c r="K57" s="2"/>
      <c r="L57" s="2"/>
      <c r="M57" s="2"/>
      <c r="N57" s="2"/>
      <c r="O57" s="2"/>
      <c r="R57" s="56" t="s">
        <v>152</v>
      </c>
      <c r="S57" s="54" t="s">
        <v>147</v>
      </c>
      <c r="T57" s="55">
        <v>1.66</v>
      </c>
    </row>
    <row r="58" spans="1:20" ht="18" customHeight="1">
      <c r="A58" s="17"/>
      <c r="B58" s="4" t="s">
        <v>8</v>
      </c>
      <c r="C58" s="2"/>
      <c r="D58" s="2"/>
      <c r="E58" s="2">
        <v>4.59</v>
      </c>
      <c r="F58" s="2"/>
      <c r="G58" s="2"/>
      <c r="H58" s="2"/>
      <c r="I58" s="2">
        <v>0.54</v>
      </c>
      <c r="J58" s="2">
        <v>0.54</v>
      </c>
      <c r="K58" s="2">
        <v>0.54</v>
      </c>
      <c r="L58" s="2"/>
      <c r="M58" s="2"/>
      <c r="N58" s="2">
        <v>0.54</v>
      </c>
      <c r="O58" s="2">
        <v>0.99</v>
      </c>
    </row>
    <row r="59" spans="1:20" ht="18" customHeight="1">
      <c r="A59" s="90"/>
      <c r="B59" s="4" t="s">
        <v>9</v>
      </c>
      <c r="C59" s="2"/>
      <c r="D59" s="2"/>
      <c r="E59" s="2"/>
      <c r="F59" s="2">
        <v>0.99</v>
      </c>
      <c r="G59" s="2"/>
      <c r="H59" s="2"/>
      <c r="I59" s="2"/>
      <c r="J59" s="2"/>
      <c r="K59" s="2"/>
      <c r="L59" s="2">
        <v>0.54</v>
      </c>
      <c r="M59" s="2">
        <v>0.54</v>
      </c>
      <c r="N59" s="2"/>
      <c r="O59" s="2"/>
    </row>
    <row r="60" spans="1:20">
      <c r="A60" s="89" t="s">
        <v>12</v>
      </c>
      <c r="B60" s="4" t="s">
        <v>8</v>
      </c>
      <c r="C60" s="2"/>
      <c r="D60" s="2">
        <v>1.62</v>
      </c>
      <c r="E60" s="2"/>
      <c r="F60" s="2"/>
      <c r="G60" s="2"/>
      <c r="H60" s="2"/>
      <c r="I60" s="2"/>
      <c r="J60" s="2"/>
      <c r="K60" s="2"/>
      <c r="L60" s="2"/>
      <c r="M60" s="2"/>
      <c r="N60" s="2"/>
      <c r="O60" s="2"/>
    </row>
    <row r="61" spans="1:20">
      <c r="A61" s="90"/>
      <c r="B61" s="4" t="s">
        <v>9</v>
      </c>
      <c r="C61" s="2"/>
      <c r="D61" s="2"/>
      <c r="E61" s="2"/>
      <c r="F61" s="2"/>
      <c r="G61" s="2"/>
      <c r="H61" s="2"/>
      <c r="I61" s="2"/>
      <c r="J61" s="2"/>
      <c r="K61" s="2"/>
      <c r="L61" s="2"/>
      <c r="M61" s="2"/>
      <c r="N61" s="2">
        <v>1.89</v>
      </c>
      <c r="O61" s="2"/>
    </row>
    <row r="62" spans="1:20">
      <c r="A62" s="101" t="s">
        <v>13</v>
      </c>
      <c r="B62" s="3" t="s">
        <v>148</v>
      </c>
      <c r="C62" s="5"/>
      <c r="D62" s="5"/>
      <c r="E62" s="5"/>
      <c r="F62" s="5"/>
      <c r="G62" s="5"/>
      <c r="H62" s="5"/>
      <c r="I62" s="5"/>
      <c r="J62" s="5"/>
      <c r="K62" s="5"/>
      <c r="L62" s="5"/>
      <c r="M62" s="5"/>
      <c r="N62" s="5"/>
      <c r="O62" s="5"/>
    </row>
    <row r="63" spans="1:20">
      <c r="A63" s="102"/>
      <c r="B63" s="3" t="s">
        <v>149</v>
      </c>
      <c r="C63" s="2">
        <v>5.46</v>
      </c>
      <c r="D63" s="5"/>
      <c r="E63" s="5"/>
      <c r="F63" s="5"/>
      <c r="G63" s="5"/>
      <c r="H63" s="5"/>
      <c r="I63" s="5"/>
      <c r="J63" s="5"/>
      <c r="K63" s="5"/>
      <c r="L63" s="5"/>
      <c r="M63" s="5"/>
      <c r="N63" s="5"/>
      <c r="O63" s="5"/>
    </row>
    <row r="64" spans="1:20">
      <c r="A64" s="102"/>
      <c r="B64" s="3" t="s">
        <v>135</v>
      </c>
      <c r="C64" s="2">
        <v>8.64</v>
      </c>
      <c r="D64" s="2"/>
      <c r="E64" s="5"/>
      <c r="F64" s="5"/>
      <c r="G64" s="5"/>
      <c r="H64" s="5"/>
      <c r="I64" s="5"/>
      <c r="J64" s="5"/>
      <c r="K64" s="5"/>
      <c r="L64" s="5"/>
      <c r="M64" s="5"/>
      <c r="N64" s="5"/>
      <c r="O64" s="5"/>
    </row>
    <row r="65" spans="1:15">
      <c r="A65" s="102"/>
      <c r="B65" s="3" t="s">
        <v>0</v>
      </c>
      <c r="C65" s="2"/>
      <c r="D65" s="2"/>
      <c r="E65" s="2"/>
      <c r="F65" s="5"/>
      <c r="G65" s="5"/>
      <c r="H65" s="5"/>
      <c r="I65" s="5"/>
      <c r="J65" s="5"/>
      <c r="K65" s="5"/>
      <c r="L65" s="5"/>
      <c r="M65" s="5"/>
      <c r="N65" s="5"/>
      <c r="O65" s="5"/>
    </row>
    <row r="66" spans="1:15" ht="18" customHeight="1">
      <c r="A66" s="102"/>
      <c r="B66" s="3" t="s">
        <v>1</v>
      </c>
      <c r="C66" s="2"/>
      <c r="D66" s="2"/>
      <c r="E66" s="2"/>
      <c r="F66" s="2">
        <v>8.74</v>
      </c>
      <c r="G66" s="5"/>
      <c r="H66" s="5"/>
      <c r="I66" s="5"/>
      <c r="J66" s="5"/>
      <c r="K66" s="5"/>
      <c r="L66" s="5"/>
      <c r="M66" s="5"/>
      <c r="N66" s="5"/>
      <c r="O66" s="5"/>
    </row>
    <row r="67" spans="1:15">
      <c r="A67" s="102"/>
      <c r="B67" s="3" t="s">
        <v>2</v>
      </c>
      <c r="C67" s="2"/>
      <c r="D67" s="2"/>
      <c r="E67" s="2"/>
      <c r="F67" s="2"/>
      <c r="G67" s="2">
        <v>8.74</v>
      </c>
      <c r="H67" s="5"/>
      <c r="I67" s="5"/>
      <c r="J67" s="5"/>
      <c r="K67" s="5"/>
      <c r="L67" s="5"/>
      <c r="M67" s="5"/>
      <c r="N67" s="5"/>
      <c r="O67" s="5"/>
    </row>
    <row r="68" spans="1:15">
      <c r="A68" s="102"/>
      <c r="B68" s="3" t="s">
        <v>153</v>
      </c>
      <c r="C68" s="2"/>
      <c r="D68" s="2">
        <v>4.0999999999999996</v>
      </c>
      <c r="E68" s="2"/>
      <c r="F68" s="2"/>
      <c r="G68" s="2"/>
      <c r="H68" s="2"/>
      <c r="I68" s="5"/>
      <c r="J68" s="5"/>
      <c r="K68" s="5"/>
      <c r="L68" s="5"/>
      <c r="M68" s="5"/>
      <c r="N68" s="5"/>
      <c r="O68" s="5"/>
    </row>
    <row r="69" spans="1:15" ht="18" customHeight="1">
      <c r="A69" s="102"/>
      <c r="B69" s="3" t="s">
        <v>154</v>
      </c>
      <c r="C69" s="2"/>
      <c r="D69" s="2"/>
      <c r="E69" s="2"/>
      <c r="F69" s="2"/>
      <c r="G69" s="2"/>
      <c r="H69" s="2"/>
      <c r="I69" s="2"/>
      <c r="J69" s="5"/>
      <c r="K69" s="5"/>
      <c r="L69" s="5"/>
      <c r="M69" s="5"/>
      <c r="N69" s="5"/>
      <c r="O69" s="5"/>
    </row>
    <row r="70" spans="1:15">
      <c r="A70" s="102"/>
      <c r="B70" s="3" t="s">
        <v>3</v>
      </c>
      <c r="C70" s="2"/>
      <c r="D70" s="2"/>
      <c r="E70" s="2"/>
      <c r="F70" s="2"/>
      <c r="G70" s="2"/>
      <c r="H70" s="2"/>
      <c r="I70" s="2">
        <v>4.0999999999999996</v>
      </c>
      <c r="J70" s="2"/>
      <c r="K70" s="5"/>
      <c r="L70" s="5"/>
      <c r="M70" s="5"/>
      <c r="N70" s="5"/>
      <c r="O70" s="5"/>
    </row>
    <row r="71" spans="1:15">
      <c r="A71" s="102"/>
      <c r="B71" s="3" t="s">
        <v>4</v>
      </c>
      <c r="C71" s="2"/>
      <c r="D71" s="2"/>
      <c r="E71" s="2"/>
      <c r="F71" s="2"/>
      <c r="G71" s="2"/>
      <c r="H71" s="2"/>
      <c r="I71" s="2"/>
      <c r="J71" s="2"/>
      <c r="K71" s="2">
        <v>4.0999999999999996</v>
      </c>
      <c r="L71" s="5"/>
      <c r="M71" s="5"/>
      <c r="N71" s="5"/>
      <c r="O71" s="5"/>
    </row>
    <row r="72" spans="1:15">
      <c r="A72" s="102"/>
      <c r="B72" s="3" t="s">
        <v>157</v>
      </c>
      <c r="C72" s="2"/>
      <c r="D72" s="2"/>
      <c r="E72" s="2"/>
      <c r="F72" s="2">
        <v>6.55</v>
      </c>
      <c r="G72" s="2"/>
      <c r="H72" s="2"/>
      <c r="I72" s="2"/>
      <c r="J72" s="2"/>
      <c r="K72" s="2"/>
      <c r="L72" s="2"/>
      <c r="M72" s="5"/>
      <c r="N72" s="5"/>
      <c r="O72" s="5"/>
    </row>
    <row r="73" spans="1:15">
      <c r="A73" s="102"/>
      <c r="B73" s="3" t="s">
        <v>155</v>
      </c>
      <c r="C73" s="2">
        <v>8.73</v>
      </c>
      <c r="D73" s="2">
        <v>4.37</v>
      </c>
      <c r="E73" s="2">
        <f>3.28+3.31</f>
        <v>6.59</v>
      </c>
      <c r="F73" s="2"/>
      <c r="G73" s="2"/>
      <c r="H73" s="2"/>
      <c r="I73" s="2">
        <v>2.0499999999999998</v>
      </c>
      <c r="J73" s="2"/>
      <c r="K73" s="2">
        <v>4.09</v>
      </c>
      <c r="L73" s="2">
        <v>4.0999999999999996</v>
      </c>
      <c r="M73" s="2"/>
      <c r="N73" s="5"/>
      <c r="O73" s="5"/>
    </row>
    <row r="74" spans="1:15">
      <c r="A74" s="103"/>
      <c r="B74" s="3" t="s">
        <v>156</v>
      </c>
      <c r="C74" s="2"/>
      <c r="D74" s="2"/>
      <c r="E74" s="2"/>
      <c r="F74" s="2">
        <v>2.1800000000000002</v>
      </c>
      <c r="G74" s="2">
        <v>7.09</v>
      </c>
      <c r="H74" s="2">
        <v>7.1</v>
      </c>
      <c r="I74" s="2"/>
      <c r="J74" s="2">
        <f>4.37+2.18</f>
        <v>6.5500000000000007</v>
      </c>
      <c r="K74" s="2"/>
      <c r="L74" s="2"/>
      <c r="M74" s="2">
        <v>4.37</v>
      </c>
      <c r="N74" s="2">
        <v>2.9</v>
      </c>
      <c r="O74" s="5"/>
    </row>
    <row r="75" spans="1:15">
      <c r="C75" t="s">
        <v>190</v>
      </c>
    </row>
    <row r="77" spans="1:15">
      <c r="A77" s="7" t="s">
        <v>175</v>
      </c>
      <c r="C77" t="s">
        <v>187</v>
      </c>
    </row>
    <row r="78" spans="1:15">
      <c r="C78" s="2" t="s">
        <v>47</v>
      </c>
      <c r="D78" s="204" t="s">
        <v>48</v>
      </c>
      <c r="E78" s="203"/>
      <c r="F78" s="205"/>
      <c r="G78" s="207" t="s">
        <v>16</v>
      </c>
      <c r="H78" s="207"/>
      <c r="I78" s="207"/>
      <c r="J78" s="207"/>
    </row>
    <row r="79" spans="1:15">
      <c r="A79" s="188"/>
      <c r="B79" s="189"/>
      <c r="C79" s="3" t="s">
        <v>164</v>
      </c>
      <c r="D79" s="3" t="s">
        <v>165</v>
      </c>
      <c r="E79" s="3" t="s">
        <v>166</v>
      </c>
      <c r="F79" s="3" t="s">
        <v>167</v>
      </c>
      <c r="G79" s="3" t="s">
        <v>168</v>
      </c>
      <c r="H79" s="3" t="s">
        <v>169</v>
      </c>
      <c r="I79" s="3" t="s">
        <v>170</v>
      </c>
      <c r="J79" s="3" t="s">
        <v>171</v>
      </c>
    </row>
    <row r="80" spans="1:15">
      <c r="A80" s="89" t="s">
        <v>5</v>
      </c>
      <c r="B80" s="18" t="s">
        <v>303</v>
      </c>
      <c r="C80" s="2">
        <f>18.42+5.81</f>
        <v>24.23</v>
      </c>
      <c r="D80" s="2">
        <v>11</v>
      </c>
      <c r="E80" s="2">
        <v>9.15</v>
      </c>
      <c r="F80" s="2">
        <v>9.6</v>
      </c>
      <c r="G80" s="2">
        <v>2.42</v>
      </c>
      <c r="H80" s="2">
        <v>4.29</v>
      </c>
      <c r="I80" s="2">
        <v>2.87</v>
      </c>
      <c r="J80" s="2">
        <v>6.44</v>
      </c>
    </row>
    <row r="81" spans="1:10">
      <c r="A81" s="17"/>
      <c r="B81" s="4" t="s">
        <v>6</v>
      </c>
      <c r="C81" s="2">
        <v>9.516</v>
      </c>
      <c r="D81" s="2">
        <v>6.4480000000000004</v>
      </c>
      <c r="E81" s="2"/>
      <c r="F81" s="2"/>
      <c r="G81" s="2"/>
      <c r="H81" s="2"/>
      <c r="I81" s="2"/>
      <c r="J81" s="2"/>
    </row>
    <row r="82" spans="1:10">
      <c r="A82" s="17"/>
      <c r="B82" s="4" t="s">
        <v>7</v>
      </c>
      <c r="C82" s="2"/>
      <c r="D82" s="2">
        <v>11.531000000000001</v>
      </c>
      <c r="E82" s="2"/>
      <c r="F82" s="2">
        <v>10.061999999999999</v>
      </c>
      <c r="G82" s="2"/>
      <c r="H82" s="2">
        <v>4.4980000000000002</v>
      </c>
      <c r="I82" s="2">
        <v>3.5489999999999999</v>
      </c>
      <c r="J82" s="2"/>
    </row>
    <row r="83" spans="1:10">
      <c r="A83" s="17"/>
      <c r="B83" s="4" t="s">
        <v>8</v>
      </c>
      <c r="C83" s="2"/>
      <c r="D83" s="2"/>
      <c r="E83" s="2">
        <v>5.3559999999999999</v>
      </c>
      <c r="F83" s="2">
        <v>6.4480000000000004</v>
      </c>
      <c r="G83" s="2"/>
      <c r="H83" s="2"/>
      <c r="I83" s="2"/>
      <c r="J83" s="2">
        <v>4.16</v>
      </c>
    </row>
    <row r="84" spans="1:10">
      <c r="A84" s="17"/>
      <c r="B84" s="4" t="s">
        <v>9</v>
      </c>
      <c r="C84" s="2">
        <v>17.212</v>
      </c>
      <c r="D84" s="2"/>
      <c r="E84" s="2">
        <v>10.061999999999999</v>
      </c>
      <c r="F84" s="2"/>
      <c r="G84" s="2">
        <v>2.3660000000000001</v>
      </c>
      <c r="H84" s="2"/>
      <c r="I84" s="2"/>
      <c r="J84" s="2"/>
    </row>
    <row r="85" spans="1:10">
      <c r="A85" s="90"/>
      <c r="B85" s="17" t="s">
        <v>302</v>
      </c>
      <c r="C85" s="2">
        <f>C80</f>
        <v>24.23</v>
      </c>
      <c r="D85" s="2">
        <f t="shared" ref="D85:J85" si="13">D80</f>
        <v>11</v>
      </c>
      <c r="E85" s="2">
        <f t="shared" si="13"/>
        <v>9.15</v>
      </c>
      <c r="F85" s="2">
        <f t="shared" si="13"/>
        <v>9.6</v>
      </c>
      <c r="G85" s="2">
        <f t="shared" si="13"/>
        <v>2.42</v>
      </c>
      <c r="H85" s="2">
        <f t="shared" si="13"/>
        <v>4.29</v>
      </c>
      <c r="I85" s="2">
        <f t="shared" si="13"/>
        <v>2.87</v>
      </c>
      <c r="J85" s="2">
        <f t="shared" si="13"/>
        <v>6.44</v>
      </c>
    </row>
    <row r="86" spans="1:10">
      <c r="A86" s="89" t="s">
        <v>11</v>
      </c>
      <c r="B86" s="4" t="s">
        <v>6</v>
      </c>
      <c r="C86" s="2">
        <v>4.5199999999999996</v>
      </c>
      <c r="D86" s="2">
        <v>3.24</v>
      </c>
      <c r="E86" s="2"/>
      <c r="F86" s="2"/>
      <c r="G86" s="2"/>
      <c r="H86" s="2"/>
      <c r="I86" s="2"/>
      <c r="J86" s="2"/>
    </row>
    <row r="87" spans="1:10">
      <c r="A87" s="17"/>
      <c r="B87" s="4" t="s">
        <v>7</v>
      </c>
      <c r="C87" s="2"/>
      <c r="D87" s="2"/>
      <c r="E87" s="2"/>
      <c r="F87" s="2"/>
      <c r="G87" s="2"/>
      <c r="H87" s="2"/>
      <c r="I87" s="2"/>
      <c r="J87" s="2"/>
    </row>
    <row r="88" spans="1:10">
      <c r="A88" s="17"/>
      <c r="B88" s="4" t="s">
        <v>8</v>
      </c>
      <c r="C88" s="2"/>
      <c r="D88" s="2"/>
      <c r="E88" s="2">
        <v>1.21</v>
      </c>
      <c r="F88" s="2">
        <v>1.32</v>
      </c>
      <c r="G88" s="2"/>
      <c r="H88" s="2"/>
      <c r="I88" s="2"/>
      <c r="J88" s="2"/>
    </row>
    <row r="89" spans="1:10">
      <c r="A89" s="90"/>
      <c r="B89" s="4" t="s">
        <v>9</v>
      </c>
      <c r="C89" s="2"/>
      <c r="D89" s="2"/>
      <c r="E89" s="2"/>
      <c r="F89" s="2"/>
      <c r="G89" s="2"/>
      <c r="H89" s="2"/>
      <c r="I89" s="2"/>
      <c r="J89" s="2"/>
    </row>
    <row r="90" spans="1:10">
      <c r="A90" s="89" t="s">
        <v>12</v>
      </c>
      <c r="B90" s="4" t="s">
        <v>8</v>
      </c>
      <c r="C90" s="2"/>
      <c r="D90" s="2"/>
      <c r="E90" s="2"/>
      <c r="F90" s="2"/>
      <c r="G90" s="2"/>
      <c r="H90" s="2"/>
      <c r="I90" s="2"/>
      <c r="J90" s="2">
        <v>1.7549999999999999</v>
      </c>
    </row>
    <row r="91" spans="1:10">
      <c r="A91" s="90"/>
      <c r="B91" s="4" t="s">
        <v>9</v>
      </c>
      <c r="C91" s="2"/>
      <c r="D91" s="2"/>
      <c r="E91" s="2"/>
      <c r="F91" s="2"/>
      <c r="G91" s="2"/>
      <c r="H91" s="2"/>
      <c r="I91" s="2"/>
      <c r="J91" s="2"/>
    </row>
    <row r="92" spans="1:10">
      <c r="A92" s="89" t="s">
        <v>13</v>
      </c>
      <c r="B92" s="4" t="s">
        <v>172</v>
      </c>
      <c r="C92" s="5"/>
      <c r="D92" s="5"/>
      <c r="E92" s="5"/>
      <c r="F92" s="5"/>
      <c r="G92" s="5"/>
      <c r="H92" s="5"/>
      <c r="I92" s="5"/>
      <c r="J92" s="5"/>
    </row>
    <row r="93" spans="1:10">
      <c r="A93" s="17"/>
      <c r="B93" s="4" t="s">
        <v>0</v>
      </c>
      <c r="C93" s="2">
        <f>11.531+0.998</f>
        <v>12.529</v>
      </c>
      <c r="D93" s="5"/>
      <c r="E93" s="5"/>
      <c r="F93" s="5"/>
      <c r="G93" s="5"/>
      <c r="H93" s="5"/>
      <c r="I93" s="5"/>
      <c r="J93" s="5"/>
    </row>
    <row r="94" spans="1:10">
      <c r="A94" s="17"/>
      <c r="B94" s="4" t="s">
        <v>1</v>
      </c>
      <c r="C94" s="2">
        <v>0</v>
      </c>
      <c r="D94" s="2"/>
      <c r="E94" s="5"/>
      <c r="F94" s="5"/>
      <c r="G94" s="5"/>
      <c r="H94" s="5"/>
      <c r="I94" s="5"/>
      <c r="J94" s="5"/>
    </row>
    <row r="95" spans="1:10">
      <c r="A95" s="17"/>
      <c r="B95" s="4" t="s">
        <v>2</v>
      </c>
      <c r="C95" s="2">
        <v>0</v>
      </c>
      <c r="D95" s="2"/>
      <c r="E95" s="2"/>
      <c r="F95" s="5"/>
      <c r="G95" s="5"/>
      <c r="H95" s="5"/>
      <c r="I95" s="5"/>
      <c r="J95" s="5"/>
    </row>
    <row r="96" spans="1:10">
      <c r="A96" s="17"/>
      <c r="B96" s="4" t="s">
        <v>173</v>
      </c>
      <c r="C96" s="2">
        <v>6.9160000000000004</v>
      </c>
      <c r="D96" s="2"/>
      <c r="E96" s="2">
        <v>6.9160000000000004</v>
      </c>
      <c r="F96" s="2">
        <v>6.4480000000000004</v>
      </c>
      <c r="G96" s="5"/>
      <c r="H96" s="5"/>
      <c r="I96" s="5"/>
      <c r="J96" s="5"/>
    </row>
    <row r="97" spans="1:10">
      <c r="A97" s="17"/>
      <c r="B97" s="4" t="s">
        <v>3</v>
      </c>
      <c r="C97" s="2">
        <f>2.132+0.988</f>
        <v>3.12</v>
      </c>
      <c r="D97" s="2"/>
      <c r="E97" s="2"/>
      <c r="F97" s="2"/>
      <c r="G97" s="2"/>
      <c r="H97" s="5"/>
      <c r="I97" s="5"/>
      <c r="J97" s="5"/>
    </row>
    <row r="98" spans="1:10">
      <c r="A98" s="17"/>
      <c r="B98" s="4" t="s">
        <v>4</v>
      </c>
      <c r="C98" s="2">
        <v>3.5489999999999999</v>
      </c>
      <c r="D98" s="2">
        <v>5.46</v>
      </c>
      <c r="E98" s="2"/>
      <c r="F98" s="2"/>
      <c r="G98" s="2"/>
      <c r="H98" s="2"/>
      <c r="I98" s="5"/>
      <c r="J98" s="5"/>
    </row>
    <row r="99" spans="1:10">
      <c r="A99" s="90"/>
      <c r="B99" s="4" t="s">
        <v>174</v>
      </c>
      <c r="C99" s="2">
        <v>2.6</v>
      </c>
      <c r="D99" s="2"/>
      <c r="E99" s="2">
        <f>10.062+1.56</f>
        <v>11.622</v>
      </c>
      <c r="F99" s="2">
        <v>10.061999999999999</v>
      </c>
      <c r="G99" s="2"/>
      <c r="H99" s="2"/>
      <c r="I99" s="2"/>
      <c r="J99" s="5"/>
    </row>
    <row r="100" spans="1:10">
      <c r="C100" t="s">
        <v>188</v>
      </c>
    </row>
    <row r="101" spans="1:10">
      <c r="C101" t="s">
        <v>189</v>
      </c>
    </row>
  </sheetData>
  <mergeCells count="13">
    <mergeCell ref="A3:B3"/>
    <mergeCell ref="A24:B24"/>
    <mergeCell ref="A4:B4"/>
    <mergeCell ref="A79:B79"/>
    <mergeCell ref="I44:O44"/>
    <mergeCell ref="A45:B45"/>
    <mergeCell ref="E44:H44"/>
    <mergeCell ref="C44:D44"/>
    <mergeCell ref="C3:D3"/>
    <mergeCell ref="E3:F3"/>
    <mergeCell ref="G3:H3"/>
    <mergeCell ref="D78:F78"/>
    <mergeCell ref="G78:J78"/>
  </mergeCells>
  <phoneticPr fontId="1"/>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D9A37-75BB-4312-B69F-2ACD274F1C60}">
  <dimension ref="A1:AC55"/>
  <sheetViews>
    <sheetView zoomScale="70" zoomScaleNormal="70" workbookViewId="0">
      <selection activeCell="A31" sqref="A31"/>
    </sheetView>
  </sheetViews>
  <sheetFormatPr defaultRowHeight="18"/>
  <cols>
    <col min="1" max="1" width="18.25" bestFit="1" customWidth="1"/>
    <col min="3" max="3" width="18.33203125" customWidth="1"/>
    <col min="8" max="8" width="18.75" customWidth="1"/>
    <col min="10" max="10" width="17.33203125" customWidth="1"/>
    <col min="11" max="11" width="12" customWidth="1"/>
    <col min="14" max="14" width="19.5" customWidth="1"/>
    <col min="16" max="16" width="17.25" customWidth="1"/>
  </cols>
  <sheetData>
    <row r="1" spans="1:29">
      <c r="A1" s="7" t="s">
        <v>27</v>
      </c>
      <c r="H1" s="7" t="s">
        <v>28</v>
      </c>
      <c r="N1" s="7" t="s">
        <v>30</v>
      </c>
    </row>
    <row r="4" spans="1:29">
      <c r="A4" s="7" t="s">
        <v>24</v>
      </c>
      <c r="H4" s="7" t="s">
        <v>36</v>
      </c>
      <c r="N4" s="7" t="s">
        <v>30</v>
      </c>
      <c r="U4" s="7" t="s">
        <v>24</v>
      </c>
    </row>
    <row r="5" spans="1:29">
      <c r="A5" s="4" t="s">
        <v>18</v>
      </c>
      <c r="B5" s="4" t="s">
        <v>19</v>
      </c>
      <c r="C5" s="4" t="s">
        <v>20</v>
      </c>
      <c r="D5" s="4" t="s">
        <v>21</v>
      </c>
      <c r="H5" s="4" t="s">
        <v>18</v>
      </c>
      <c r="I5" s="4" t="s">
        <v>19</v>
      </c>
      <c r="J5" s="4" t="s">
        <v>20</v>
      </c>
      <c r="K5" s="4" t="s">
        <v>21</v>
      </c>
      <c r="N5" s="4" t="s">
        <v>18</v>
      </c>
      <c r="O5" s="4" t="s">
        <v>19</v>
      </c>
      <c r="P5" s="4" t="s">
        <v>20</v>
      </c>
      <c r="Q5" s="4" t="s">
        <v>21</v>
      </c>
      <c r="U5" s="4" t="s">
        <v>18</v>
      </c>
      <c r="V5" s="4" t="s">
        <v>19</v>
      </c>
      <c r="W5" s="4" t="s">
        <v>20</v>
      </c>
      <c r="X5" s="4" t="s">
        <v>21</v>
      </c>
    </row>
    <row r="6" spans="1:29">
      <c r="A6" s="11" t="s">
        <v>39</v>
      </c>
      <c r="B6" s="11"/>
      <c r="C6" s="11"/>
      <c r="D6" s="2">
        <v>0.15</v>
      </c>
      <c r="H6" s="13" t="s">
        <v>38</v>
      </c>
      <c r="I6" s="13"/>
      <c r="J6" s="13"/>
      <c r="K6" s="2">
        <v>0.15</v>
      </c>
      <c r="N6" s="15" t="s">
        <v>46</v>
      </c>
      <c r="O6" s="15"/>
      <c r="P6" s="15"/>
      <c r="Q6" s="15" t="s">
        <v>44</v>
      </c>
      <c r="U6" s="11" t="s">
        <v>39</v>
      </c>
      <c r="V6" s="11"/>
      <c r="W6" s="11"/>
      <c r="X6" s="2">
        <v>0.15</v>
      </c>
      <c r="AA6">
        <f>X6</f>
        <v>0.15</v>
      </c>
    </row>
    <row r="7" spans="1:29">
      <c r="A7" s="2" t="s">
        <v>17</v>
      </c>
      <c r="B7" s="2">
        <v>0.12</v>
      </c>
      <c r="C7" s="2">
        <v>1.6</v>
      </c>
      <c r="D7" s="2">
        <f>1/C7*B7</f>
        <v>7.4999999999999997E-2</v>
      </c>
      <c r="H7" s="2" t="s">
        <v>17</v>
      </c>
      <c r="I7" s="2">
        <v>0.12</v>
      </c>
      <c r="J7" s="2">
        <v>1.6</v>
      </c>
      <c r="K7" s="2">
        <f>1/J7*I7</f>
        <v>7.4999999999999997E-2</v>
      </c>
      <c r="N7" s="2" t="s">
        <v>31</v>
      </c>
      <c r="O7" s="2">
        <v>1.2500000000000001E-2</v>
      </c>
      <c r="P7" s="2"/>
      <c r="Q7" s="2">
        <v>5.7000000000000002E-2</v>
      </c>
      <c r="U7" s="2" t="s">
        <v>17</v>
      </c>
      <c r="V7" s="2">
        <v>0.15</v>
      </c>
      <c r="W7" s="2">
        <v>1.6</v>
      </c>
      <c r="X7" s="2">
        <f>1/W7*V7</f>
        <v>9.375E-2</v>
      </c>
      <c r="AA7">
        <f>X7</f>
        <v>9.375E-2</v>
      </c>
    </row>
    <row r="8" spans="1:29">
      <c r="A8" s="2" t="s">
        <v>22</v>
      </c>
      <c r="B8" s="8">
        <v>0.2</v>
      </c>
      <c r="C8" s="2">
        <v>0.03</v>
      </c>
      <c r="D8" s="2">
        <f>1/C8*B8</f>
        <v>6.6666666666666679</v>
      </c>
      <c r="H8" s="14" t="s">
        <v>41</v>
      </c>
      <c r="I8" s="14"/>
      <c r="J8" s="14"/>
      <c r="K8" s="2">
        <v>0.15</v>
      </c>
      <c r="N8" s="2" t="s">
        <v>43</v>
      </c>
      <c r="O8" s="2"/>
      <c r="P8" s="2"/>
      <c r="Q8" s="2">
        <v>0.09</v>
      </c>
      <c r="U8" s="2" t="s">
        <v>22</v>
      </c>
      <c r="V8" s="8">
        <v>0.2</v>
      </c>
      <c r="W8" s="2">
        <v>0.03</v>
      </c>
      <c r="X8" s="2">
        <f>1/W8*V8</f>
        <v>6.6666666666666679</v>
      </c>
      <c r="Y8">
        <f>Z8*AA8</f>
        <v>0.20000000000000004</v>
      </c>
      <c r="Z8">
        <f>W8</f>
        <v>0.03</v>
      </c>
      <c r="AA8">
        <f>AA10-AA6-AA7-AA9</f>
        <v>6.6666666666666679</v>
      </c>
      <c r="AC8">
        <f>W8*(1/X11-(AA6+AA7+AA9))</f>
        <v>0.20000000000000004</v>
      </c>
    </row>
    <row r="9" spans="1:29">
      <c r="A9" s="10" t="s">
        <v>40</v>
      </c>
      <c r="B9" s="10"/>
      <c r="C9" s="10"/>
      <c r="D9" s="2">
        <v>0.04</v>
      </c>
      <c r="H9" s="2"/>
      <c r="I9" s="2"/>
      <c r="J9" s="2" t="s">
        <v>23</v>
      </c>
      <c r="K9" s="2">
        <f>SUM(K6:K8)</f>
        <v>0.375</v>
      </c>
      <c r="N9" s="2" t="s">
        <v>31</v>
      </c>
      <c r="O9" s="2">
        <v>1.2500000000000001E-2</v>
      </c>
      <c r="P9" s="2"/>
      <c r="Q9" s="2">
        <v>5.7000000000000002E-2</v>
      </c>
      <c r="U9" s="10" t="s">
        <v>40</v>
      </c>
      <c r="V9" s="10"/>
      <c r="W9" s="10"/>
      <c r="X9" s="2">
        <v>0.04</v>
      </c>
      <c r="AA9">
        <f>X9</f>
        <v>0.04</v>
      </c>
    </row>
    <row r="10" spans="1:29">
      <c r="A10" s="2"/>
      <c r="B10" s="2"/>
      <c r="C10" s="2" t="s">
        <v>23</v>
      </c>
      <c r="D10" s="2">
        <f>SUM(D6:D9)</f>
        <v>6.9316666666666675</v>
      </c>
      <c r="E10" t="s">
        <v>70</v>
      </c>
      <c r="H10" s="2"/>
      <c r="I10" s="2"/>
      <c r="J10" s="2" t="s">
        <v>34</v>
      </c>
      <c r="K10" s="2">
        <f>1/K9</f>
        <v>2.6666666666666665</v>
      </c>
      <c r="N10" s="15" t="s">
        <v>46</v>
      </c>
      <c r="O10" s="15"/>
      <c r="P10" s="15"/>
      <c r="Q10" s="15" t="s">
        <v>45</v>
      </c>
      <c r="U10" s="2"/>
      <c r="V10" s="2"/>
      <c r="W10" s="2" t="s">
        <v>23</v>
      </c>
      <c r="X10" s="2">
        <f>SUM(X6:X9)</f>
        <v>6.9504166666666682</v>
      </c>
      <c r="AA10">
        <f>1/X11</f>
        <v>6.9504166666666682</v>
      </c>
    </row>
    <row r="11" spans="1:29">
      <c r="A11" s="2"/>
      <c r="B11" s="2"/>
      <c r="C11" s="2" t="s">
        <v>34</v>
      </c>
      <c r="D11" s="2">
        <f>1/D10</f>
        <v>0.14426544842510217</v>
      </c>
      <c r="E11" s="2">
        <f>1/(D10-D8)</f>
        <v>3.7735849056603818</v>
      </c>
      <c r="J11" s="2" t="s">
        <v>33</v>
      </c>
      <c r="K11" s="2">
        <f>I7*2000</f>
        <v>240</v>
      </c>
      <c r="N11" s="2"/>
      <c r="O11" s="2"/>
      <c r="P11" s="2" t="s">
        <v>23</v>
      </c>
      <c r="Q11" s="2">
        <f>SUM(Q7:Q10)</f>
        <v>0.20399999999999999</v>
      </c>
      <c r="U11" s="2"/>
      <c r="V11" s="2"/>
      <c r="W11" s="2" t="s">
        <v>34</v>
      </c>
      <c r="X11" s="2">
        <f>1/X10</f>
        <v>0.14387626641088661</v>
      </c>
    </row>
    <row r="12" spans="1:29">
      <c r="C12" s="2" t="s">
        <v>33</v>
      </c>
      <c r="D12" s="2">
        <f>B7*2000</f>
        <v>240</v>
      </c>
      <c r="N12" s="2"/>
      <c r="O12" s="2"/>
      <c r="P12" s="2" t="s">
        <v>34</v>
      </c>
      <c r="Q12" s="2">
        <f>1/Q11</f>
        <v>4.9019607843137258</v>
      </c>
      <c r="W12" s="2"/>
      <c r="X12" s="2"/>
    </row>
    <row r="13" spans="1:29">
      <c r="P13" s="2" t="s">
        <v>33</v>
      </c>
      <c r="Q13" s="2">
        <f>O8*2000</f>
        <v>0</v>
      </c>
    </row>
    <row r="14" spans="1:29">
      <c r="A14" s="7" t="s">
        <v>25</v>
      </c>
      <c r="H14" s="7" t="s">
        <v>37</v>
      </c>
    </row>
    <row r="15" spans="1:29">
      <c r="A15" s="4" t="s">
        <v>18</v>
      </c>
      <c r="B15" s="4" t="s">
        <v>19</v>
      </c>
      <c r="C15" s="4" t="s">
        <v>20</v>
      </c>
      <c r="D15" s="4" t="s">
        <v>21</v>
      </c>
      <c r="H15" s="4" t="s">
        <v>18</v>
      </c>
      <c r="I15" s="4" t="s">
        <v>19</v>
      </c>
      <c r="J15" s="4" t="s">
        <v>20</v>
      </c>
      <c r="K15" s="4" t="s">
        <v>21</v>
      </c>
      <c r="N15" s="9" t="s">
        <v>32</v>
      </c>
    </row>
    <row r="16" spans="1:29">
      <c r="A16" s="10" t="s">
        <v>40</v>
      </c>
      <c r="B16" s="10"/>
      <c r="C16" s="10"/>
      <c r="D16" s="2">
        <v>0.04</v>
      </c>
      <c r="H16" s="14" t="s">
        <v>41</v>
      </c>
      <c r="I16" s="14"/>
      <c r="J16" s="14"/>
      <c r="K16" s="2">
        <v>0.09</v>
      </c>
    </row>
    <row r="17" spans="1:14">
      <c r="A17" s="2" t="s">
        <v>22</v>
      </c>
      <c r="B17" s="8">
        <v>0.1</v>
      </c>
      <c r="C17" s="2">
        <v>4.4999999999999998E-2</v>
      </c>
      <c r="D17" s="2">
        <f>1/C17*B17</f>
        <v>2.2222222222222223</v>
      </c>
      <c r="H17" s="2" t="s">
        <v>17</v>
      </c>
      <c r="I17" s="2">
        <v>0.12</v>
      </c>
      <c r="J17" s="2">
        <v>1.6</v>
      </c>
      <c r="K17" s="2">
        <f>1/J17*I17</f>
        <v>7.4999999999999997E-2</v>
      </c>
    </row>
    <row r="18" spans="1:14">
      <c r="A18" s="2" t="s">
        <v>31</v>
      </c>
      <c r="B18" s="2">
        <v>0.125</v>
      </c>
      <c r="C18" s="2"/>
      <c r="D18" s="2">
        <v>4.2999999999999997E-2</v>
      </c>
      <c r="H18" s="13" t="s">
        <v>38</v>
      </c>
      <c r="I18" s="13"/>
      <c r="J18" s="13"/>
      <c r="K18" s="2">
        <v>0.09</v>
      </c>
    </row>
    <row r="19" spans="1:14">
      <c r="A19" s="11" t="s">
        <v>39</v>
      </c>
      <c r="B19" s="11"/>
      <c r="C19" s="11"/>
      <c r="D19" s="2">
        <v>0.09</v>
      </c>
      <c r="H19" s="2"/>
      <c r="I19" s="2"/>
      <c r="J19" s="2" t="s">
        <v>23</v>
      </c>
      <c r="K19" s="2">
        <f>SUM(K16:K18)</f>
        <v>0.255</v>
      </c>
    </row>
    <row r="20" spans="1:14">
      <c r="A20" s="2"/>
      <c r="B20" s="2"/>
      <c r="C20" s="2" t="s">
        <v>23</v>
      </c>
      <c r="D20" s="2">
        <f>SUM(D16:D19)</f>
        <v>2.3952222222222224</v>
      </c>
      <c r="E20" t="s">
        <v>70</v>
      </c>
      <c r="H20" s="2"/>
      <c r="I20" s="2"/>
      <c r="J20" s="2" t="s">
        <v>34</v>
      </c>
      <c r="K20" s="2">
        <f>1/K19</f>
        <v>3.9215686274509802</v>
      </c>
    </row>
    <row r="21" spans="1:14">
      <c r="A21" s="2"/>
      <c r="B21" s="2"/>
      <c r="C21" s="2" t="s">
        <v>34</v>
      </c>
      <c r="D21" s="2">
        <f>1/D20</f>
        <v>0.41749779653940711</v>
      </c>
      <c r="E21" s="2">
        <f>1/(D20-D18)</f>
        <v>0.42512990080302315</v>
      </c>
      <c r="J21" s="2" t="s">
        <v>33</v>
      </c>
      <c r="K21" s="2">
        <f>I17*2000</f>
        <v>240</v>
      </c>
    </row>
    <row r="22" spans="1:14">
      <c r="C22" s="2" t="s">
        <v>33</v>
      </c>
      <c r="D22" s="2">
        <f>B17*2000</f>
        <v>200</v>
      </c>
    </row>
    <row r="24" spans="1:14">
      <c r="A24" s="7" t="s">
        <v>26</v>
      </c>
      <c r="H24" s="7" t="s">
        <v>29</v>
      </c>
    </row>
    <row r="25" spans="1:14">
      <c r="A25" s="4" t="s">
        <v>18</v>
      </c>
      <c r="B25" s="4" t="s">
        <v>19</v>
      </c>
      <c r="C25" s="4" t="s">
        <v>20</v>
      </c>
      <c r="D25" s="4" t="s">
        <v>21</v>
      </c>
      <c r="H25" s="4" t="s">
        <v>18</v>
      </c>
      <c r="I25" s="4" t="s">
        <v>19</v>
      </c>
      <c r="J25" s="4" t="s">
        <v>20</v>
      </c>
      <c r="K25" s="4" t="s">
        <v>21</v>
      </c>
    </row>
    <row r="26" spans="1:14">
      <c r="A26" s="10" t="s">
        <v>40</v>
      </c>
      <c r="B26" s="10"/>
      <c r="C26" s="10"/>
      <c r="D26" s="2">
        <v>0.04</v>
      </c>
      <c r="H26" s="14" t="s">
        <v>41</v>
      </c>
      <c r="I26" s="14"/>
      <c r="J26" s="14"/>
      <c r="K26" s="2">
        <v>0.11</v>
      </c>
    </row>
    <row r="27" spans="1:14">
      <c r="A27" s="2" t="s">
        <v>31</v>
      </c>
      <c r="B27" s="2">
        <v>0.125</v>
      </c>
      <c r="C27" s="2"/>
      <c r="D27" s="2">
        <v>4.2999999999999997E-2</v>
      </c>
      <c r="H27" s="2" t="s">
        <v>17</v>
      </c>
      <c r="I27" s="2">
        <v>0.2</v>
      </c>
      <c r="J27" s="2">
        <v>1.6</v>
      </c>
      <c r="K27" s="2">
        <f>1/J27*I27</f>
        <v>0.125</v>
      </c>
      <c r="N27" t="s">
        <v>14</v>
      </c>
    </row>
    <row r="28" spans="1:14">
      <c r="A28" t="s">
        <v>160</v>
      </c>
      <c r="D28">
        <v>0.09</v>
      </c>
      <c r="H28" s="13" t="s">
        <v>38</v>
      </c>
      <c r="I28" s="13"/>
      <c r="J28" s="13"/>
      <c r="K28" s="2">
        <v>0.11</v>
      </c>
      <c r="N28" t="s">
        <v>15</v>
      </c>
    </row>
    <row r="29" spans="1:14">
      <c r="A29" s="2" t="s">
        <v>22</v>
      </c>
      <c r="B29" s="8">
        <v>0.1</v>
      </c>
      <c r="C29" s="2">
        <v>4.4999999999999998E-2</v>
      </c>
      <c r="D29" s="2">
        <f>1/C29*B29</f>
        <v>2.2222222222222223</v>
      </c>
      <c r="H29" s="2"/>
      <c r="I29" s="2"/>
      <c r="J29" s="2" t="s">
        <v>23</v>
      </c>
      <c r="K29" s="2">
        <f>SUM(K26:K28)</f>
        <v>0.34499999999999997</v>
      </c>
    </row>
    <row r="30" spans="1:14">
      <c r="A30" s="2" t="s">
        <v>161</v>
      </c>
      <c r="B30" s="2"/>
      <c r="C30" s="2"/>
      <c r="D30" s="2">
        <v>7.4999999999999997E-2</v>
      </c>
      <c r="H30" s="2"/>
      <c r="I30" s="2"/>
      <c r="J30" s="2" t="s">
        <v>34</v>
      </c>
      <c r="K30" s="2">
        <f>1/K29</f>
        <v>2.8985507246376816</v>
      </c>
    </row>
    <row r="31" spans="1:14">
      <c r="A31" s="2" t="s">
        <v>162</v>
      </c>
      <c r="B31" s="2"/>
      <c r="C31" s="2"/>
      <c r="D31" s="2">
        <v>8.7999999999999995E-2</v>
      </c>
      <c r="J31" s="2" t="s">
        <v>33</v>
      </c>
      <c r="K31" s="2">
        <f>I27*2000</f>
        <v>400</v>
      </c>
    </row>
    <row r="32" spans="1:14">
      <c r="A32" s="11" t="s">
        <v>39</v>
      </c>
      <c r="B32" s="11"/>
      <c r="C32" s="11"/>
      <c r="D32" s="2">
        <v>0.11</v>
      </c>
    </row>
    <row r="33" spans="1:5">
      <c r="A33" s="2"/>
      <c r="B33" s="2"/>
      <c r="C33" s="2" t="s">
        <v>23</v>
      </c>
      <c r="D33" s="2">
        <f>SUM(D26:D32)</f>
        <v>2.6682222222222225</v>
      </c>
      <c r="E33" t="s">
        <v>70</v>
      </c>
    </row>
    <row r="34" spans="1:5">
      <c r="A34" s="2"/>
      <c r="B34" s="2"/>
      <c r="C34" s="2" t="s">
        <v>34</v>
      </c>
      <c r="D34" s="2">
        <f>1/D33</f>
        <v>0.37478137752977425</v>
      </c>
      <c r="E34" s="2">
        <f>1/(D33-D29)</f>
        <v>2.2421524663677119</v>
      </c>
    </row>
    <row r="35" spans="1:5">
      <c r="C35" s="2" t="s">
        <v>33</v>
      </c>
      <c r="D35" s="2">
        <f>B27*2000</f>
        <v>250</v>
      </c>
    </row>
    <row r="38" spans="1:5">
      <c r="B38" s="12" t="s">
        <v>35</v>
      </c>
    </row>
    <row r="55" spans="8:8">
      <c r="H55" s="9" t="s">
        <v>42</v>
      </c>
    </row>
  </sheetData>
  <phoneticPr fontId="1"/>
  <hyperlinks>
    <hyperlink ref="N15" r:id="rId1" display="https://yoshino-gypsum.com/special/hosoku/list_jis" xr:uid="{7CDFA346-A06C-44A8-B218-1775BD79D417}"/>
    <hyperlink ref="H55" r:id="rId2" location="page=19" display="https://www.kenken.go.jp/becc/documents/house/3-2_160715_v07_PVer0201.pdf - page=19" xr:uid="{06387FA8-5D18-4DC0-9622-E5DA19E445C0}"/>
  </hyperlinks>
  <pageMargins left="0.7" right="0.7" top="0.75" bottom="0.75" header="0.3" footer="0.3"/>
  <pageSetup paperSize="9" orientation="portrait" r:id="rId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002F-C59D-4301-B145-EBCF9BF18379}">
  <dimension ref="A1:AC55"/>
  <sheetViews>
    <sheetView zoomScale="70" zoomScaleNormal="70" workbookViewId="0">
      <selection activeCell="R34" sqref="R34"/>
    </sheetView>
  </sheetViews>
  <sheetFormatPr defaultRowHeight="18"/>
  <cols>
    <col min="1" max="1" width="18.25" bestFit="1" customWidth="1"/>
    <col min="3" max="3" width="18.33203125" customWidth="1"/>
    <col min="8" max="8" width="18.75" customWidth="1"/>
    <col min="10" max="10" width="17.33203125" customWidth="1"/>
    <col min="11" max="11" width="12" customWidth="1"/>
    <col min="14" max="14" width="19.5" customWidth="1"/>
    <col min="16" max="16" width="17.25" customWidth="1"/>
  </cols>
  <sheetData>
    <row r="1" spans="1:29">
      <c r="A1" s="7" t="s">
        <v>27</v>
      </c>
      <c r="H1" s="7" t="s">
        <v>28</v>
      </c>
      <c r="N1" s="7" t="s">
        <v>30</v>
      </c>
    </row>
    <row r="4" spans="1:29">
      <c r="A4" s="7" t="s">
        <v>24</v>
      </c>
      <c r="H4" s="7" t="s">
        <v>36</v>
      </c>
      <c r="N4" s="7" t="s">
        <v>30</v>
      </c>
      <c r="U4" s="7" t="s">
        <v>24</v>
      </c>
    </row>
    <row r="5" spans="1:29">
      <c r="A5" s="4" t="s">
        <v>18</v>
      </c>
      <c r="B5" s="4" t="s">
        <v>19</v>
      </c>
      <c r="C5" s="4" t="s">
        <v>20</v>
      </c>
      <c r="D5" s="4" t="s">
        <v>21</v>
      </c>
      <c r="H5" s="4" t="s">
        <v>18</v>
      </c>
      <c r="I5" s="4" t="s">
        <v>19</v>
      </c>
      <c r="J5" s="4" t="s">
        <v>20</v>
      </c>
      <c r="K5" s="4" t="s">
        <v>21</v>
      </c>
      <c r="N5" s="4" t="s">
        <v>18</v>
      </c>
      <c r="O5" s="4" t="s">
        <v>19</v>
      </c>
      <c r="P5" s="4" t="s">
        <v>20</v>
      </c>
      <c r="Q5" s="4" t="s">
        <v>21</v>
      </c>
      <c r="U5" s="4" t="s">
        <v>18</v>
      </c>
      <c r="V5" s="4" t="s">
        <v>19</v>
      </c>
      <c r="W5" s="4" t="s">
        <v>20</v>
      </c>
      <c r="X5" s="4" t="s">
        <v>21</v>
      </c>
    </row>
    <row r="6" spans="1:29">
      <c r="A6" s="11" t="s">
        <v>39</v>
      </c>
      <c r="B6" s="11"/>
      <c r="C6" s="11"/>
      <c r="D6" s="2">
        <v>0.15</v>
      </c>
      <c r="H6" s="13" t="s">
        <v>38</v>
      </c>
      <c r="I6" s="13"/>
      <c r="J6" s="13"/>
      <c r="K6" s="2">
        <v>0.15</v>
      </c>
      <c r="N6" s="15" t="s">
        <v>46</v>
      </c>
      <c r="O6" s="15"/>
      <c r="P6" s="15"/>
      <c r="Q6" s="15" t="s">
        <v>44</v>
      </c>
      <c r="U6" s="11" t="s">
        <v>39</v>
      </c>
      <c r="V6" s="11"/>
      <c r="W6" s="11"/>
      <c r="X6" s="2">
        <v>0.15</v>
      </c>
      <c r="AA6">
        <f>X6</f>
        <v>0.15</v>
      </c>
    </row>
    <row r="7" spans="1:29">
      <c r="A7" s="2" t="s">
        <v>17</v>
      </c>
      <c r="B7" s="2">
        <v>0.15</v>
      </c>
      <c r="C7" s="2">
        <v>1.6</v>
      </c>
      <c r="D7" s="2">
        <f>1/C7*B7</f>
        <v>9.375E-2</v>
      </c>
      <c r="H7" s="2" t="s">
        <v>17</v>
      </c>
      <c r="I7" s="2">
        <v>0.15</v>
      </c>
      <c r="J7" s="2">
        <v>1.6</v>
      </c>
      <c r="K7" s="2">
        <f>1/J7*I7</f>
        <v>9.375E-2</v>
      </c>
      <c r="N7" s="2" t="s">
        <v>31</v>
      </c>
      <c r="O7" s="2">
        <v>1.2500000000000001E-2</v>
      </c>
      <c r="P7" s="2"/>
      <c r="Q7" s="2">
        <v>5.7000000000000002E-2</v>
      </c>
      <c r="U7" s="2" t="s">
        <v>17</v>
      </c>
      <c r="V7" s="2">
        <v>0.15</v>
      </c>
      <c r="W7" s="2">
        <v>1.6</v>
      </c>
      <c r="X7" s="2">
        <f>1/W7*V7</f>
        <v>9.375E-2</v>
      </c>
      <c r="AA7">
        <f>X7</f>
        <v>9.375E-2</v>
      </c>
    </row>
    <row r="8" spans="1:29">
      <c r="A8" s="2" t="s">
        <v>22</v>
      </c>
      <c r="B8" s="8">
        <v>0.2</v>
      </c>
      <c r="C8" s="2">
        <v>0.03</v>
      </c>
      <c r="D8" s="2">
        <f>1/C8*B8</f>
        <v>6.6666666666666679</v>
      </c>
      <c r="H8" s="14" t="s">
        <v>41</v>
      </c>
      <c r="I8" s="14"/>
      <c r="J8" s="14"/>
      <c r="K8" s="2">
        <v>0.15</v>
      </c>
      <c r="N8" s="2" t="s">
        <v>43</v>
      </c>
      <c r="O8" s="2"/>
      <c r="P8" s="2"/>
      <c r="Q8" s="2">
        <v>0.09</v>
      </c>
      <c r="U8" s="2" t="s">
        <v>22</v>
      </c>
      <c r="V8" s="8">
        <v>0.2</v>
      </c>
      <c r="W8" s="2">
        <v>0.03</v>
      </c>
      <c r="X8" s="2">
        <f>1/W8*V8</f>
        <v>6.6666666666666679</v>
      </c>
      <c r="Y8">
        <f>Z8*AA8</f>
        <v>0.20000000000000004</v>
      </c>
      <c r="Z8">
        <f>W8</f>
        <v>0.03</v>
      </c>
      <c r="AA8">
        <f>AA10-AA6-AA7-AA9</f>
        <v>6.6666666666666679</v>
      </c>
      <c r="AC8">
        <f>W8*(1/X11-(AA6+AA7+AA9))</f>
        <v>0.20000000000000004</v>
      </c>
    </row>
    <row r="9" spans="1:29">
      <c r="A9" s="10" t="s">
        <v>40</v>
      </c>
      <c r="B9" s="10"/>
      <c r="C9" s="10"/>
      <c r="D9" s="2">
        <v>0.04</v>
      </c>
      <c r="H9" s="2"/>
      <c r="I9" s="2"/>
      <c r="J9" s="2" t="s">
        <v>23</v>
      </c>
      <c r="K9" s="2">
        <f>SUM(K6:K8)</f>
        <v>0.39374999999999999</v>
      </c>
      <c r="N9" s="2" t="s">
        <v>31</v>
      </c>
      <c r="O9" s="2">
        <v>1.2500000000000001E-2</v>
      </c>
      <c r="P9" s="2"/>
      <c r="Q9" s="2">
        <v>5.7000000000000002E-2</v>
      </c>
      <c r="U9" s="10" t="s">
        <v>40</v>
      </c>
      <c r="V9" s="10"/>
      <c r="W9" s="10"/>
      <c r="X9" s="2">
        <v>0.04</v>
      </c>
      <c r="AA9">
        <f>X9</f>
        <v>0.04</v>
      </c>
    </row>
    <row r="10" spans="1:29">
      <c r="A10" s="2"/>
      <c r="B10" s="2"/>
      <c r="C10" s="2" t="s">
        <v>23</v>
      </c>
      <c r="D10" s="2">
        <f>SUM(D6:D9)</f>
        <v>6.9504166666666682</v>
      </c>
      <c r="E10" t="s">
        <v>70</v>
      </c>
      <c r="H10" s="2"/>
      <c r="I10" s="2"/>
      <c r="J10" s="2" t="s">
        <v>34</v>
      </c>
      <c r="K10" s="2">
        <f>1/K9</f>
        <v>2.5396825396825395</v>
      </c>
      <c r="N10" s="15" t="s">
        <v>46</v>
      </c>
      <c r="O10" s="15"/>
      <c r="P10" s="15"/>
      <c r="Q10" s="15" t="s">
        <v>45</v>
      </c>
      <c r="U10" s="2"/>
      <c r="V10" s="2"/>
      <c r="W10" s="2" t="s">
        <v>23</v>
      </c>
      <c r="X10" s="2">
        <f>SUM(X6:X9)</f>
        <v>6.9504166666666682</v>
      </c>
      <c r="AA10">
        <f>1/X11</f>
        <v>6.9504166666666682</v>
      </c>
    </row>
    <row r="11" spans="1:29">
      <c r="A11" s="2"/>
      <c r="B11" s="2"/>
      <c r="C11" s="2" t="s">
        <v>34</v>
      </c>
      <c r="D11" s="2">
        <f>1/D10</f>
        <v>0.14387626641088661</v>
      </c>
      <c r="E11" s="2">
        <f>1/(D10-D8)</f>
        <v>3.5242290748898628</v>
      </c>
      <c r="J11" s="2" t="s">
        <v>33</v>
      </c>
      <c r="K11" s="2">
        <f>I7*2000</f>
        <v>300</v>
      </c>
      <c r="N11" s="2"/>
      <c r="O11" s="2"/>
      <c r="P11" s="2" t="s">
        <v>23</v>
      </c>
      <c r="Q11" s="2">
        <f>SUM(Q7:Q10)</f>
        <v>0.20399999999999999</v>
      </c>
      <c r="U11" s="2"/>
      <c r="V11" s="2"/>
      <c r="W11" s="2" t="s">
        <v>34</v>
      </c>
      <c r="X11" s="2">
        <f>1/X10</f>
        <v>0.14387626641088661</v>
      </c>
    </row>
    <row r="12" spans="1:29">
      <c r="C12" s="2" t="s">
        <v>33</v>
      </c>
      <c r="D12" s="2">
        <f>B7*2000</f>
        <v>300</v>
      </c>
      <c r="N12" s="2"/>
      <c r="O12" s="2"/>
      <c r="P12" s="2" t="s">
        <v>34</v>
      </c>
      <c r="Q12" s="2">
        <f>1/Q11</f>
        <v>4.9019607843137258</v>
      </c>
      <c r="W12" s="2"/>
      <c r="X12" s="2"/>
    </row>
    <row r="13" spans="1:29">
      <c r="P13" s="2" t="s">
        <v>33</v>
      </c>
      <c r="Q13" s="2">
        <f>O8*2000</f>
        <v>0</v>
      </c>
    </row>
    <row r="14" spans="1:29">
      <c r="A14" s="7" t="s">
        <v>25</v>
      </c>
      <c r="H14" s="7" t="s">
        <v>37</v>
      </c>
    </row>
    <row r="15" spans="1:29">
      <c r="A15" s="4" t="s">
        <v>18</v>
      </c>
      <c r="B15" s="4" t="s">
        <v>19</v>
      </c>
      <c r="C15" s="4" t="s">
        <v>20</v>
      </c>
      <c r="D15" s="4" t="s">
        <v>21</v>
      </c>
      <c r="H15" s="4" t="s">
        <v>18</v>
      </c>
      <c r="I15" s="4" t="s">
        <v>19</v>
      </c>
      <c r="J15" s="4" t="s">
        <v>20</v>
      </c>
      <c r="K15" s="4" t="s">
        <v>21</v>
      </c>
      <c r="N15" s="9" t="s">
        <v>32</v>
      </c>
    </row>
    <row r="16" spans="1:29">
      <c r="A16" s="10" t="s">
        <v>40</v>
      </c>
      <c r="B16" s="10"/>
      <c r="C16" s="10"/>
      <c r="D16" s="2">
        <v>0.04</v>
      </c>
      <c r="H16" s="14" t="s">
        <v>41</v>
      </c>
      <c r="I16" s="14"/>
      <c r="J16" s="14"/>
      <c r="K16" s="2">
        <v>0.09</v>
      </c>
    </row>
    <row r="17" spans="1:14">
      <c r="A17" s="2" t="s">
        <v>22</v>
      </c>
      <c r="B17" s="8">
        <v>0.2</v>
      </c>
      <c r="C17" s="2">
        <v>0.03</v>
      </c>
      <c r="D17" s="2">
        <f>1/C17*B17</f>
        <v>6.6666666666666679</v>
      </c>
      <c r="H17" s="2" t="s">
        <v>17</v>
      </c>
      <c r="I17" s="2">
        <v>0.15</v>
      </c>
      <c r="J17" s="2">
        <v>1.6</v>
      </c>
      <c r="K17" s="2">
        <f>1/J17*I17</f>
        <v>9.375E-2</v>
      </c>
    </row>
    <row r="18" spans="1:14">
      <c r="A18" s="2" t="s">
        <v>17</v>
      </c>
      <c r="B18" s="2">
        <v>0.15</v>
      </c>
      <c r="C18" s="2">
        <v>1.6</v>
      </c>
      <c r="D18" s="2">
        <f>1/C18*B18</f>
        <v>9.375E-2</v>
      </c>
      <c r="H18" s="13" t="s">
        <v>38</v>
      </c>
      <c r="I18" s="13"/>
      <c r="J18" s="13"/>
      <c r="K18" s="2">
        <v>0.09</v>
      </c>
    </row>
    <row r="19" spans="1:14">
      <c r="A19" s="11" t="s">
        <v>39</v>
      </c>
      <c r="B19" s="11"/>
      <c r="C19" s="11"/>
      <c r="D19" s="2">
        <v>0.09</v>
      </c>
      <c r="H19" s="2"/>
      <c r="I19" s="2"/>
      <c r="J19" s="2" t="s">
        <v>23</v>
      </c>
      <c r="K19" s="2">
        <f>SUM(K16:K18)</f>
        <v>0.27374999999999999</v>
      </c>
    </row>
    <row r="20" spans="1:14">
      <c r="A20" s="2"/>
      <c r="B20" s="2"/>
      <c r="C20" s="2" t="s">
        <v>23</v>
      </c>
      <c r="D20" s="2">
        <f>SUM(D16:D19)</f>
        <v>6.8904166666666677</v>
      </c>
      <c r="E20" t="s">
        <v>70</v>
      </c>
      <c r="H20" s="2"/>
      <c r="I20" s="2"/>
      <c r="J20" s="2" t="s">
        <v>34</v>
      </c>
      <c r="K20" s="2">
        <f>1/K19</f>
        <v>3.6529680365296806</v>
      </c>
    </row>
    <row r="21" spans="1:14">
      <c r="A21" s="2"/>
      <c r="B21" s="2"/>
      <c r="C21" s="2" t="s">
        <v>34</v>
      </c>
      <c r="D21" s="2">
        <f>1/D20</f>
        <v>0.1451291044324847</v>
      </c>
      <c r="E21" s="2">
        <f>1/(D20-D18)</f>
        <v>0.14713094654242273</v>
      </c>
      <c r="J21" s="2" t="s">
        <v>33</v>
      </c>
      <c r="K21" s="2">
        <f>I17*2000</f>
        <v>300</v>
      </c>
    </row>
    <row r="22" spans="1:14">
      <c r="C22" s="2" t="s">
        <v>33</v>
      </c>
      <c r="D22" s="2">
        <f>B17*2000</f>
        <v>400</v>
      </c>
    </row>
    <row r="24" spans="1:14">
      <c r="A24" s="7" t="s">
        <v>26</v>
      </c>
      <c r="H24" s="7" t="s">
        <v>29</v>
      </c>
    </row>
    <row r="25" spans="1:14">
      <c r="A25" s="4" t="s">
        <v>18</v>
      </c>
      <c r="B25" s="4" t="s">
        <v>19</v>
      </c>
      <c r="C25" s="4" t="s">
        <v>20</v>
      </c>
      <c r="D25" s="4" t="s">
        <v>21</v>
      </c>
      <c r="H25" s="4" t="s">
        <v>18</v>
      </c>
      <c r="I25" s="4" t="s">
        <v>19</v>
      </c>
      <c r="J25" s="4" t="s">
        <v>20</v>
      </c>
      <c r="K25" s="4" t="s">
        <v>21</v>
      </c>
    </row>
    <row r="26" spans="1:14">
      <c r="A26" s="10" t="s">
        <v>40</v>
      </c>
      <c r="B26" s="10"/>
      <c r="C26" s="10"/>
      <c r="D26" s="2">
        <v>0.04</v>
      </c>
      <c r="H26" s="14" t="s">
        <v>41</v>
      </c>
      <c r="I26" s="14"/>
      <c r="J26" s="14"/>
      <c r="K26" s="2">
        <v>0.11</v>
      </c>
    </row>
    <row r="27" spans="1:14">
      <c r="A27" s="2" t="s">
        <v>17</v>
      </c>
      <c r="B27" s="2">
        <v>0.13500000000000001</v>
      </c>
      <c r="C27" s="2">
        <v>1.6</v>
      </c>
      <c r="D27" s="2">
        <f>1/C27*B27</f>
        <v>8.4375000000000006E-2</v>
      </c>
      <c r="H27" s="2" t="s">
        <v>17</v>
      </c>
      <c r="I27" s="2">
        <v>0.2</v>
      </c>
      <c r="J27" s="2">
        <v>1.6</v>
      </c>
      <c r="K27" s="2">
        <f>1/J27*I27</f>
        <v>0.125</v>
      </c>
      <c r="N27" t="s">
        <v>14</v>
      </c>
    </row>
    <row r="28" spans="1:14">
      <c r="A28" s="2" t="s">
        <v>22</v>
      </c>
      <c r="B28" s="8">
        <v>0.2</v>
      </c>
      <c r="C28" s="2">
        <v>0.03</v>
      </c>
      <c r="D28" s="2">
        <f>1/C28*B28</f>
        <v>6.6666666666666679</v>
      </c>
      <c r="H28" s="13" t="s">
        <v>38</v>
      </c>
      <c r="I28" s="13"/>
      <c r="J28" s="13"/>
      <c r="K28" s="2">
        <v>0.11</v>
      </c>
      <c r="N28" t="s">
        <v>15</v>
      </c>
    </row>
    <row r="29" spans="1:14">
      <c r="A29" s="11" t="s">
        <v>39</v>
      </c>
      <c r="B29" s="11"/>
      <c r="C29" s="11"/>
      <c r="D29" s="2">
        <v>0.11</v>
      </c>
      <c r="H29" s="2"/>
      <c r="I29" s="2"/>
      <c r="J29" s="2" t="s">
        <v>23</v>
      </c>
      <c r="K29" s="2">
        <f>SUM(K26:K28)</f>
        <v>0.34499999999999997</v>
      </c>
    </row>
    <row r="30" spans="1:14">
      <c r="A30" s="2"/>
      <c r="B30" s="2"/>
      <c r="C30" s="2" t="s">
        <v>23</v>
      </c>
      <c r="D30" s="2">
        <f>SUM(D26:D29)</f>
        <v>6.9010416666666679</v>
      </c>
      <c r="E30" t="s">
        <v>70</v>
      </c>
      <c r="H30" s="2"/>
      <c r="I30" s="2"/>
      <c r="J30" s="2" t="s">
        <v>34</v>
      </c>
      <c r="K30" s="2">
        <f>1/K29</f>
        <v>2.8985507246376816</v>
      </c>
    </row>
    <row r="31" spans="1:14">
      <c r="A31" s="2"/>
      <c r="B31" s="2"/>
      <c r="C31" s="2" t="s">
        <v>34</v>
      </c>
      <c r="D31" s="2">
        <f>1/D30</f>
        <v>0.14490566037735847</v>
      </c>
      <c r="E31" s="2">
        <f>1/(D30-D28)</f>
        <v>4.2666666666666666</v>
      </c>
      <c r="J31" s="2" t="s">
        <v>33</v>
      </c>
      <c r="K31" s="2">
        <f>I27*2000</f>
        <v>400</v>
      </c>
    </row>
    <row r="32" spans="1:14">
      <c r="C32" s="2" t="s">
        <v>33</v>
      </c>
      <c r="D32" s="2">
        <f>B27*2000</f>
        <v>270</v>
      </c>
    </row>
    <row r="35" spans="2:2">
      <c r="B35" s="12" t="s">
        <v>35</v>
      </c>
    </row>
    <row r="55" spans="8:8">
      <c r="H55" s="9" t="s">
        <v>42</v>
      </c>
    </row>
  </sheetData>
  <phoneticPr fontId="1"/>
  <hyperlinks>
    <hyperlink ref="N15" r:id="rId1" display="https://yoshino-gypsum.com/special/hosoku/list_jis" xr:uid="{C56E9A28-E6D8-4132-8315-96DB278D61F8}"/>
    <hyperlink ref="H55" r:id="rId2" location="page=19" display="https://www.kenken.go.jp/becc/documents/house/3-2_160715_v07_PVer0201.pdf - page=19" xr:uid="{F40C3BAD-1F89-4F0C-B538-6077BD5A16A7}"/>
  </hyperlinks>
  <pageMargins left="0.7" right="0.7" top="0.75" bottom="0.75" header="0.3" footer="0.3"/>
  <drawing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401DA-D5BE-46E2-AA3A-91AB4EF26B40}">
  <dimension ref="A1:J46"/>
  <sheetViews>
    <sheetView zoomScale="85" zoomScaleNormal="85" workbookViewId="0">
      <selection activeCell="A2" sqref="A2"/>
    </sheetView>
  </sheetViews>
  <sheetFormatPr defaultRowHeight="18"/>
  <cols>
    <col min="10" max="10" width="9.5" customWidth="1"/>
  </cols>
  <sheetData>
    <row r="1" spans="1:10">
      <c r="A1" s="34" t="s">
        <v>84</v>
      </c>
      <c r="B1" s="32"/>
      <c r="C1" s="32"/>
      <c r="D1" s="32"/>
      <c r="E1" s="32"/>
      <c r="F1" s="32"/>
      <c r="G1" s="32"/>
      <c r="H1" s="32"/>
      <c r="I1" s="32"/>
    </row>
    <row r="2" spans="1:10">
      <c r="A2" s="32" t="s">
        <v>85</v>
      </c>
      <c r="B2" s="32"/>
      <c r="C2" s="32"/>
      <c r="D2" s="32"/>
      <c r="E2" s="32"/>
      <c r="F2" s="32"/>
      <c r="G2" s="32"/>
      <c r="H2" s="32"/>
      <c r="I2" s="32"/>
    </row>
    <row r="3" spans="1:10">
      <c r="A3" s="208" t="s">
        <v>88</v>
      </c>
      <c r="B3" s="208" t="s">
        <v>87</v>
      </c>
      <c r="C3" s="208"/>
      <c r="D3" s="208"/>
      <c r="E3" s="208"/>
      <c r="F3" s="208"/>
      <c r="G3" s="208"/>
      <c r="H3" s="208"/>
      <c r="I3" s="208"/>
    </row>
    <row r="4" spans="1:10">
      <c r="A4" s="208"/>
      <c r="B4" s="37">
        <v>1</v>
      </c>
      <c r="C4" s="37">
        <v>2</v>
      </c>
      <c r="D4" s="37">
        <v>3</v>
      </c>
      <c r="E4" s="37">
        <v>4</v>
      </c>
      <c r="F4" s="37">
        <v>5</v>
      </c>
      <c r="G4" s="37">
        <v>6</v>
      </c>
      <c r="H4" s="37">
        <v>7</v>
      </c>
      <c r="I4" s="37">
        <v>8</v>
      </c>
      <c r="J4" t="s">
        <v>97</v>
      </c>
    </row>
    <row r="5" spans="1:10">
      <c r="A5" s="37" t="s">
        <v>89</v>
      </c>
      <c r="B5" s="35">
        <v>1</v>
      </c>
      <c r="C5" s="36">
        <v>1</v>
      </c>
      <c r="D5" s="36">
        <v>1</v>
      </c>
      <c r="E5" s="36">
        <v>1</v>
      </c>
      <c r="F5" s="36">
        <v>1</v>
      </c>
      <c r="G5" s="36">
        <v>1</v>
      </c>
      <c r="H5" s="36">
        <v>1</v>
      </c>
      <c r="I5" s="36">
        <v>1</v>
      </c>
      <c r="J5" s="40">
        <f ca="1">OFFSET(B5,0,推計!$C$4-1)</f>
        <v>1</v>
      </c>
    </row>
    <row r="6" spans="1:10">
      <c r="A6" s="37" t="s">
        <v>8</v>
      </c>
      <c r="B6" s="38">
        <v>0.32900000000000001</v>
      </c>
      <c r="C6" s="39">
        <v>0.34100000000000003</v>
      </c>
      <c r="D6" s="39">
        <v>0.33500000000000002</v>
      </c>
      <c r="E6" s="39">
        <v>0.32200000000000001</v>
      </c>
      <c r="F6" s="39">
        <v>0.373</v>
      </c>
      <c r="G6" s="39">
        <v>0.34100000000000003</v>
      </c>
      <c r="H6" s="39">
        <v>0.307</v>
      </c>
      <c r="I6" s="39">
        <v>0.32500000000000001</v>
      </c>
      <c r="J6" s="41">
        <f ca="1">OFFSET(B6,0,推計!$C$4-1)</f>
        <v>0.34100000000000003</v>
      </c>
    </row>
    <row r="7" spans="1:10">
      <c r="A7" s="37" t="s">
        <v>90</v>
      </c>
      <c r="B7" s="38">
        <v>0.43</v>
      </c>
      <c r="C7" s="39">
        <v>0.41199999999999998</v>
      </c>
      <c r="D7" s="39">
        <v>0.39</v>
      </c>
      <c r="E7" s="39">
        <v>0.42599999999999999</v>
      </c>
      <c r="F7" s="39">
        <v>0.437</v>
      </c>
      <c r="G7" s="39">
        <v>0.43099999999999999</v>
      </c>
      <c r="H7" s="39">
        <v>0.41499999999999998</v>
      </c>
      <c r="I7" s="39">
        <v>0.41399999999999998</v>
      </c>
      <c r="J7" s="41">
        <f ca="1">OFFSET(B7,0,推計!$C$4-1)</f>
        <v>0.43099999999999999</v>
      </c>
    </row>
    <row r="8" spans="1:10">
      <c r="A8" s="37" t="s">
        <v>7</v>
      </c>
      <c r="B8" s="38">
        <v>0.54500000000000004</v>
      </c>
      <c r="C8" s="39">
        <v>0.503</v>
      </c>
      <c r="D8" s="39">
        <v>0.46800000000000003</v>
      </c>
      <c r="E8" s="39">
        <v>0.51800000000000002</v>
      </c>
      <c r="F8" s="39">
        <v>0.5</v>
      </c>
      <c r="G8" s="39">
        <v>0.51200000000000001</v>
      </c>
      <c r="H8" s="39">
        <v>0.50900000000000001</v>
      </c>
      <c r="I8" s="39">
        <v>0.51500000000000001</v>
      </c>
      <c r="J8" s="41">
        <f ca="1">OFFSET(B8,0,推計!$C$4-1)</f>
        <v>0.51200000000000001</v>
      </c>
    </row>
    <row r="9" spans="1:10">
      <c r="A9" s="37" t="s">
        <v>91</v>
      </c>
      <c r="B9" s="38">
        <v>0.56000000000000005</v>
      </c>
      <c r="C9" s="39">
        <v>0.52700000000000002</v>
      </c>
      <c r="D9" s="39">
        <v>0.48699999999999999</v>
      </c>
      <c r="E9" s="39">
        <v>0.50800000000000001</v>
      </c>
      <c r="F9" s="39">
        <v>0.5</v>
      </c>
      <c r="G9" s="39">
        <v>0.498</v>
      </c>
      <c r="H9" s="39">
        <v>0.49</v>
      </c>
      <c r="I9" s="39">
        <v>0.52800000000000002</v>
      </c>
      <c r="J9" s="41">
        <f ca="1">OFFSET(B9,0,推計!$C$4-1)</f>
        <v>0.498</v>
      </c>
    </row>
    <row r="10" spans="1:10">
      <c r="A10" s="37" t="s">
        <v>6</v>
      </c>
      <c r="B10" s="38">
        <v>0.502</v>
      </c>
      <c r="C10" s="39">
        <v>0.50700000000000001</v>
      </c>
      <c r="D10" s="39">
        <v>0.47599999999999998</v>
      </c>
      <c r="E10" s="39">
        <v>0.437</v>
      </c>
      <c r="F10" s="39">
        <v>0.47199999999999998</v>
      </c>
      <c r="G10" s="39">
        <v>0.434</v>
      </c>
      <c r="H10" s="39">
        <v>0.41199999999999998</v>
      </c>
      <c r="I10" s="39">
        <v>0.48</v>
      </c>
      <c r="J10" s="41">
        <f ca="1">OFFSET(B10,0,推計!$C$4-1)</f>
        <v>0.434</v>
      </c>
    </row>
    <row r="11" spans="1:10">
      <c r="A11" s="37" t="s">
        <v>92</v>
      </c>
      <c r="B11" s="38">
        <v>0.52600000000000002</v>
      </c>
      <c r="C11" s="39">
        <v>0.54800000000000004</v>
      </c>
      <c r="D11" s="39">
        <v>0.55000000000000004</v>
      </c>
      <c r="E11" s="39">
        <v>0.48099999999999998</v>
      </c>
      <c r="F11" s="39">
        <v>0.52</v>
      </c>
      <c r="G11" s="39">
        <v>0.49099999999999999</v>
      </c>
      <c r="H11" s="39">
        <v>0.47899999999999998</v>
      </c>
      <c r="I11" s="39">
        <v>0.51700000000000002</v>
      </c>
      <c r="J11" s="41">
        <f ca="1">OFFSET(B11,0,推計!$C$4-1)</f>
        <v>0.49099999999999999</v>
      </c>
    </row>
    <row r="12" spans="1:10">
      <c r="A12" s="37" t="s">
        <v>9</v>
      </c>
      <c r="B12" s="38">
        <v>0.50800000000000001</v>
      </c>
      <c r="C12" s="39">
        <v>0.52900000000000003</v>
      </c>
      <c r="D12" s="39">
        <v>0.55300000000000005</v>
      </c>
      <c r="E12" s="39">
        <v>0.48099999999999998</v>
      </c>
      <c r="F12" s="39">
        <v>0.51800000000000002</v>
      </c>
      <c r="G12" s="39">
        <v>0.504</v>
      </c>
      <c r="H12" s="39">
        <v>0.495</v>
      </c>
      <c r="I12" s="39">
        <v>0.505</v>
      </c>
      <c r="J12" s="41">
        <f ca="1">OFFSET(B12,0,推計!$C$4-1)</f>
        <v>0.504</v>
      </c>
    </row>
    <row r="13" spans="1:10">
      <c r="A13" s="37" t="s">
        <v>93</v>
      </c>
      <c r="B13" s="38">
        <v>0.41099999999999998</v>
      </c>
      <c r="C13" s="39">
        <v>0.42799999999999999</v>
      </c>
      <c r="D13" s="39">
        <v>0.44700000000000001</v>
      </c>
      <c r="E13" s="39">
        <v>0.40100000000000002</v>
      </c>
      <c r="F13" s="39">
        <v>0.442</v>
      </c>
      <c r="G13" s="39">
        <v>0.42699999999999999</v>
      </c>
      <c r="H13" s="39">
        <v>0.40600000000000003</v>
      </c>
      <c r="I13" s="39">
        <v>0.41099999999999998</v>
      </c>
      <c r="J13" s="41">
        <f ca="1">OFFSET(B13,0,推計!$C$4-1)</f>
        <v>0.42699999999999999</v>
      </c>
    </row>
    <row r="14" spans="1:10">
      <c r="A14" s="37" t="s">
        <v>94</v>
      </c>
      <c r="B14" s="35">
        <v>0</v>
      </c>
      <c r="C14" s="36">
        <v>0</v>
      </c>
      <c r="D14" s="36">
        <v>0</v>
      </c>
      <c r="E14" s="36">
        <v>0</v>
      </c>
      <c r="F14" s="36">
        <v>0</v>
      </c>
      <c r="G14" s="36">
        <v>0</v>
      </c>
      <c r="H14" s="36">
        <v>0</v>
      </c>
      <c r="I14" s="36">
        <v>0</v>
      </c>
      <c r="J14" s="40">
        <f ca="1">OFFSET(B14,0,推計!$C$4-1)</f>
        <v>0</v>
      </c>
    </row>
    <row r="15" spans="1:10">
      <c r="A15" s="32"/>
      <c r="B15" s="32"/>
      <c r="C15" s="32"/>
      <c r="D15" s="32"/>
      <c r="E15" s="32"/>
      <c r="F15" s="32"/>
      <c r="G15" s="32"/>
      <c r="H15" s="32"/>
      <c r="I15" s="33"/>
    </row>
    <row r="16" spans="1:10">
      <c r="A16" s="31" t="s">
        <v>86</v>
      </c>
      <c r="B16" s="31"/>
      <c r="C16" s="31"/>
      <c r="D16" s="31"/>
      <c r="E16" s="31"/>
      <c r="F16" s="31"/>
      <c r="G16" s="31"/>
      <c r="H16" s="31"/>
      <c r="I16" s="33"/>
    </row>
    <row r="17" spans="1:10">
      <c r="A17" s="208" t="s">
        <v>88</v>
      </c>
      <c r="B17" s="208" t="s">
        <v>87</v>
      </c>
      <c r="C17" s="208"/>
      <c r="D17" s="208"/>
      <c r="E17" s="208"/>
      <c r="F17" s="208"/>
      <c r="G17" s="208"/>
      <c r="H17" s="208"/>
      <c r="I17" s="208"/>
    </row>
    <row r="18" spans="1:10">
      <c r="A18" s="208"/>
      <c r="B18" s="37">
        <v>1</v>
      </c>
      <c r="C18" s="37">
        <v>2</v>
      </c>
      <c r="D18" s="37">
        <v>3</v>
      </c>
      <c r="E18" s="37">
        <v>4</v>
      </c>
      <c r="F18" s="37">
        <v>5</v>
      </c>
      <c r="G18" s="37">
        <v>6</v>
      </c>
      <c r="H18" s="37">
        <v>7</v>
      </c>
      <c r="I18" s="37">
        <v>8</v>
      </c>
      <c r="J18" t="s">
        <v>97</v>
      </c>
    </row>
    <row r="19" spans="1:10">
      <c r="A19" s="37" t="s">
        <v>89</v>
      </c>
      <c r="B19" s="35">
        <v>1</v>
      </c>
      <c r="C19" s="36">
        <v>1</v>
      </c>
      <c r="D19" s="36">
        <v>1</v>
      </c>
      <c r="E19" s="36">
        <v>1</v>
      </c>
      <c r="F19" s="36">
        <v>1</v>
      </c>
      <c r="G19" s="36">
        <v>1</v>
      </c>
      <c r="H19" s="36">
        <v>1</v>
      </c>
      <c r="I19" s="36">
        <v>0</v>
      </c>
      <c r="J19" s="40">
        <f ca="1">OFFSET(B19,0,推計!$C$4-1)</f>
        <v>1</v>
      </c>
    </row>
    <row r="20" spans="1:10">
      <c r="A20" s="37" t="s">
        <v>8</v>
      </c>
      <c r="B20" s="35">
        <v>0.26</v>
      </c>
      <c r="C20" s="36">
        <v>0.26300000000000001</v>
      </c>
      <c r="D20" s="36">
        <v>0.28399999999999997</v>
      </c>
      <c r="E20" s="36">
        <v>0.25600000000000001</v>
      </c>
      <c r="F20" s="36">
        <v>0.23799999999999999</v>
      </c>
      <c r="G20" s="36">
        <v>0.26100000000000001</v>
      </c>
      <c r="H20" s="36">
        <v>0.22700000000000001</v>
      </c>
      <c r="I20" s="36">
        <v>0</v>
      </c>
      <c r="J20" s="41">
        <f ca="1">OFFSET(B20,0,推計!$C$4-1)</f>
        <v>0.26100000000000001</v>
      </c>
    </row>
    <row r="21" spans="1:10">
      <c r="A21" s="37" t="s">
        <v>90</v>
      </c>
      <c r="B21" s="38">
        <v>0.33300000000000002</v>
      </c>
      <c r="C21" s="39">
        <v>0.34100000000000003</v>
      </c>
      <c r="D21" s="39">
        <v>0.34799999999999998</v>
      </c>
      <c r="E21" s="39">
        <v>0.33</v>
      </c>
      <c r="F21" s="39">
        <v>0.31</v>
      </c>
      <c r="G21" s="39">
        <v>0.32500000000000001</v>
      </c>
      <c r="H21" s="39">
        <v>0.28100000000000003</v>
      </c>
      <c r="I21" s="36">
        <v>0</v>
      </c>
      <c r="J21" s="41">
        <f ca="1">OFFSET(B21,0,推計!$C$4-1)</f>
        <v>0.32500000000000001</v>
      </c>
    </row>
    <row r="22" spans="1:10">
      <c r="A22" s="37" t="s">
        <v>7</v>
      </c>
      <c r="B22" s="38">
        <v>0.56399999999999995</v>
      </c>
      <c r="C22" s="39">
        <v>0.55400000000000005</v>
      </c>
      <c r="D22" s="39">
        <v>0.54</v>
      </c>
      <c r="E22" s="39">
        <v>0.53100000000000003</v>
      </c>
      <c r="F22" s="39">
        <v>0.56799999999999995</v>
      </c>
      <c r="G22" s="39">
        <v>0.57899999999999996</v>
      </c>
      <c r="H22" s="39">
        <v>0.54300000000000004</v>
      </c>
      <c r="I22" s="36">
        <v>0</v>
      </c>
      <c r="J22" s="41">
        <f ca="1">OFFSET(B22,0,推計!$C$4-1)</f>
        <v>0.57899999999999996</v>
      </c>
    </row>
    <row r="23" spans="1:10">
      <c r="A23" s="37" t="s">
        <v>91</v>
      </c>
      <c r="B23" s="38">
        <v>0.82299999999999995</v>
      </c>
      <c r="C23" s="39">
        <v>0.76600000000000001</v>
      </c>
      <c r="D23" s="39">
        <v>0.751</v>
      </c>
      <c r="E23" s="39">
        <v>0.72399999999999998</v>
      </c>
      <c r="F23" s="39">
        <v>0.84599999999999997</v>
      </c>
      <c r="G23" s="39">
        <v>0.83299999999999996</v>
      </c>
      <c r="H23" s="39">
        <v>0.84299999999999997</v>
      </c>
      <c r="I23" s="36">
        <v>0</v>
      </c>
      <c r="J23" s="41">
        <f ca="1">OFFSET(B23,0,推計!$C$4-1)</f>
        <v>0.83299999999999996</v>
      </c>
    </row>
    <row r="24" spans="1:10">
      <c r="A24" s="37" t="s">
        <v>6</v>
      </c>
      <c r="B24" s="38">
        <v>0.93500000000000005</v>
      </c>
      <c r="C24" s="39">
        <v>0.85599999999999998</v>
      </c>
      <c r="D24" s="39">
        <v>0.85099999999999998</v>
      </c>
      <c r="E24" s="39">
        <v>0.81499999999999995</v>
      </c>
      <c r="F24" s="39">
        <v>0.98299999999999998</v>
      </c>
      <c r="G24" s="39">
        <v>0.93600000000000005</v>
      </c>
      <c r="H24" s="39">
        <v>1.0229999999999999</v>
      </c>
      <c r="I24" s="36">
        <v>0</v>
      </c>
      <c r="J24" s="41">
        <f ca="1">OFFSET(B24,0,推計!$C$4-1)</f>
        <v>0.93600000000000005</v>
      </c>
    </row>
    <row r="25" spans="1:10">
      <c r="A25" s="37" t="s">
        <v>92</v>
      </c>
      <c r="B25" s="38">
        <v>0.79</v>
      </c>
      <c r="C25" s="39">
        <v>0.753</v>
      </c>
      <c r="D25" s="39">
        <v>0.75</v>
      </c>
      <c r="E25" s="39">
        <v>0.72299999999999998</v>
      </c>
      <c r="F25" s="39">
        <v>0.81499999999999995</v>
      </c>
      <c r="G25" s="39">
        <v>0.76300000000000001</v>
      </c>
      <c r="H25" s="39">
        <v>0.84799999999999998</v>
      </c>
      <c r="I25" s="36">
        <v>0</v>
      </c>
      <c r="J25" s="41">
        <f ca="1">OFFSET(B25,0,推計!$C$4-1)</f>
        <v>0.76300000000000001</v>
      </c>
    </row>
    <row r="26" spans="1:10">
      <c r="A26" s="37" t="s">
        <v>9</v>
      </c>
      <c r="B26" s="38">
        <v>0.53500000000000003</v>
      </c>
      <c r="C26" s="39">
        <v>0.54400000000000004</v>
      </c>
      <c r="D26" s="39">
        <v>0.54200000000000004</v>
      </c>
      <c r="E26" s="39">
        <v>0.52700000000000002</v>
      </c>
      <c r="F26" s="39">
        <v>0.53800000000000003</v>
      </c>
      <c r="G26" s="39">
        <v>0.52300000000000002</v>
      </c>
      <c r="H26" s="39">
        <v>0.54800000000000004</v>
      </c>
      <c r="I26" s="36">
        <v>0</v>
      </c>
      <c r="J26" s="41">
        <f ca="1">OFFSET(B26,0,推計!$C$4-1)</f>
        <v>0.52300000000000002</v>
      </c>
    </row>
    <row r="27" spans="1:10">
      <c r="A27" s="37" t="s">
        <v>93</v>
      </c>
      <c r="B27" s="38">
        <v>0.32500000000000001</v>
      </c>
      <c r="C27" s="39">
        <v>0.34100000000000003</v>
      </c>
      <c r="D27" s="39">
        <v>0.35099999999999998</v>
      </c>
      <c r="E27" s="39">
        <v>0.32600000000000001</v>
      </c>
      <c r="F27" s="39">
        <v>0.29699999999999999</v>
      </c>
      <c r="G27" s="39">
        <v>0.317</v>
      </c>
      <c r="H27" s="39">
        <v>0.28399999999999997</v>
      </c>
      <c r="I27" s="36">
        <v>0</v>
      </c>
      <c r="J27" s="41">
        <f ca="1">OFFSET(B27,0,推計!$C$4-1)</f>
        <v>0.317</v>
      </c>
    </row>
    <row r="28" spans="1:10">
      <c r="A28" s="37" t="s">
        <v>94</v>
      </c>
      <c r="B28" s="35">
        <v>0</v>
      </c>
      <c r="C28" s="36">
        <v>0</v>
      </c>
      <c r="D28" s="36">
        <v>0</v>
      </c>
      <c r="E28" s="36">
        <v>0</v>
      </c>
      <c r="F28" s="36">
        <v>0</v>
      </c>
      <c r="G28" s="36">
        <v>0</v>
      </c>
      <c r="H28" s="36">
        <v>0</v>
      </c>
      <c r="I28" s="36">
        <v>0</v>
      </c>
      <c r="J28" s="40">
        <f ca="1">OFFSET(B28,0,推計!$C$4-1)</f>
        <v>0</v>
      </c>
    </row>
    <row r="29" spans="1:10">
      <c r="A29" s="32"/>
      <c r="B29" s="32"/>
      <c r="C29" s="32"/>
      <c r="D29" s="32"/>
      <c r="E29" s="32"/>
      <c r="F29" s="32"/>
      <c r="G29" s="32"/>
      <c r="H29" s="32"/>
      <c r="I29" s="32"/>
    </row>
    <row r="30" spans="1:10">
      <c r="A30" s="31" t="s">
        <v>95</v>
      </c>
      <c r="B30" s="31"/>
      <c r="C30" s="31"/>
      <c r="D30" s="31"/>
      <c r="E30" s="31"/>
      <c r="F30" s="31"/>
      <c r="G30" s="31"/>
      <c r="H30" s="31"/>
      <c r="I30" s="33"/>
    </row>
    <row r="31" spans="1:10">
      <c r="A31" s="208" t="s">
        <v>88</v>
      </c>
      <c r="B31" s="208" t="s">
        <v>87</v>
      </c>
      <c r="C31" s="208"/>
      <c r="D31" s="208"/>
      <c r="E31" s="208"/>
      <c r="F31" s="208"/>
      <c r="G31" s="208"/>
      <c r="H31" s="208"/>
      <c r="I31" s="208"/>
    </row>
    <row r="32" spans="1:10">
      <c r="A32" s="208"/>
      <c r="B32" s="37">
        <v>1</v>
      </c>
      <c r="C32" s="37">
        <v>2</v>
      </c>
      <c r="D32" s="37">
        <v>3</v>
      </c>
      <c r="E32" s="37">
        <v>4</v>
      </c>
      <c r="F32" s="37">
        <v>5</v>
      </c>
      <c r="G32" s="37">
        <v>6</v>
      </c>
      <c r="H32" s="37">
        <v>7</v>
      </c>
      <c r="I32" s="37">
        <v>8</v>
      </c>
      <c r="J32" t="s">
        <v>97</v>
      </c>
    </row>
    <row r="33" spans="1:10">
      <c r="A33" s="37" t="s">
        <v>89</v>
      </c>
      <c r="B33" s="35">
        <f>(B5*B$45+B19*B$44)/B$46</f>
        <v>1</v>
      </c>
      <c r="C33" s="35">
        <f t="shared" ref="C33:I33" si="0">(C5*C$45+C19*C$44)/C$46</f>
        <v>1</v>
      </c>
      <c r="D33" s="35">
        <f t="shared" si="0"/>
        <v>1</v>
      </c>
      <c r="E33" s="35">
        <f t="shared" si="0"/>
        <v>1</v>
      </c>
      <c r="F33" s="35">
        <f t="shared" si="0"/>
        <v>1</v>
      </c>
      <c r="G33" s="35">
        <f t="shared" si="0"/>
        <v>1</v>
      </c>
      <c r="H33" s="35">
        <f t="shared" si="0"/>
        <v>1</v>
      </c>
      <c r="I33" s="35">
        <f t="shared" si="0"/>
        <v>1</v>
      </c>
      <c r="J33" s="40">
        <f ca="1">OFFSET(B33,0,推計!$C$4-1)</f>
        <v>1</v>
      </c>
    </row>
    <row r="34" spans="1:10">
      <c r="A34" s="37" t="s">
        <v>8</v>
      </c>
      <c r="B34" s="38">
        <f t="shared" ref="B34:I42" si="1">(B6*B$45+B20*B$44)/B$46</f>
        <v>0.27179677419354842</v>
      </c>
      <c r="C34" s="38">
        <f t="shared" si="1"/>
        <v>0.27548</v>
      </c>
      <c r="D34" s="38">
        <f t="shared" si="1"/>
        <v>0.29310101010101008</v>
      </c>
      <c r="E34" s="38">
        <f t="shared" si="1"/>
        <v>0.26785762711864408</v>
      </c>
      <c r="F34" s="38">
        <f t="shared" si="1"/>
        <v>0.26598181818181815</v>
      </c>
      <c r="G34" s="38">
        <f t="shared" si="1"/>
        <v>0.29372727272727273</v>
      </c>
      <c r="H34" s="38">
        <f t="shared" si="1"/>
        <v>0.27137956204379565</v>
      </c>
      <c r="I34" s="38">
        <f t="shared" si="1"/>
        <v>0.32500000000000001</v>
      </c>
      <c r="J34" s="41">
        <f ca="1">OFFSET(B34,0,推計!$C$4-1)</f>
        <v>0.29372727272727273</v>
      </c>
    </row>
    <row r="35" spans="1:10">
      <c r="A35" s="37" t="s">
        <v>90</v>
      </c>
      <c r="B35" s="38">
        <f t="shared" si="1"/>
        <v>0.34958387096774196</v>
      </c>
      <c r="C35" s="38">
        <f t="shared" si="1"/>
        <v>0.35236000000000001</v>
      </c>
      <c r="D35" s="38">
        <f t="shared" si="1"/>
        <v>0.35549494949494947</v>
      </c>
      <c r="E35" s="38">
        <f t="shared" si="1"/>
        <v>0.34724745762711867</v>
      </c>
      <c r="F35" s="38">
        <f t="shared" si="1"/>
        <v>0.33632363636363638</v>
      </c>
      <c r="G35" s="38">
        <f t="shared" si="1"/>
        <v>0.36836363636363639</v>
      </c>
      <c r="H35" s="38">
        <f t="shared" si="1"/>
        <v>0.35533576642335762</v>
      </c>
      <c r="I35" s="38">
        <f t="shared" si="1"/>
        <v>0.41399999999999998</v>
      </c>
      <c r="J35" s="41">
        <f ca="1">OFFSET(B35,0,推計!$C$4-1)</f>
        <v>0.36836363636363639</v>
      </c>
    </row>
    <row r="36" spans="1:10">
      <c r="A36" s="37" t="s">
        <v>7</v>
      </c>
      <c r="B36" s="38">
        <f t="shared" si="1"/>
        <v>0.56075161290322573</v>
      </c>
      <c r="C36" s="38">
        <f t="shared" si="1"/>
        <v>0.54583999999999999</v>
      </c>
      <c r="D36" s="38">
        <f t="shared" si="1"/>
        <v>0.52715151515151526</v>
      </c>
      <c r="E36" s="38">
        <f t="shared" si="1"/>
        <v>0.52866440677966109</v>
      </c>
      <c r="F36" s="38">
        <f t="shared" si="1"/>
        <v>0.55390545454545448</v>
      </c>
      <c r="G36" s="38">
        <f t="shared" si="1"/>
        <v>0.55159090909090902</v>
      </c>
      <c r="H36" s="38">
        <f t="shared" si="1"/>
        <v>0.52413868613138692</v>
      </c>
      <c r="I36" s="38">
        <f t="shared" si="1"/>
        <v>0.51500000000000001</v>
      </c>
      <c r="J36" s="41">
        <f ca="1">OFFSET(B36,0,推計!$C$4-1)</f>
        <v>0.55159090909090902</v>
      </c>
    </row>
    <row r="37" spans="1:10">
      <c r="A37" s="37" t="s">
        <v>91</v>
      </c>
      <c r="B37" s="38">
        <f t="shared" si="1"/>
        <v>0.77803548387096777</v>
      </c>
      <c r="C37" s="38">
        <f t="shared" si="1"/>
        <v>0.72775999999999996</v>
      </c>
      <c r="D37" s="38">
        <f t="shared" si="1"/>
        <v>0.7038888888888889</v>
      </c>
      <c r="E37" s="38">
        <f t="shared" si="1"/>
        <v>0.68519322033898311</v>
      </c>
      <c r="F37" s="38">
        <f t="shared" si="1"/>
        <v>0.7742836363636364</v>
      </c>
      <c r="G37" s="38">
        <f t="shared" si="1"/>
        <v>0.69595454545454538</v>
      </c>
      <c r="H37" s="38">
        <f t="shared" si="1"/>
        <v>0.64717518248175188</v>
      </c>
      <c r="I37" s="38">
        <f t="shared" si="1"/>
        <v>0.52800000000000002</v>
      </c>
      <c r="J37" s="41">
        <f ca="1">OFFSET(B37,0,推計!$C$4-1)</f>
        <v>0.69595454545454538</v>
      </c>
    </row>
    <row r="38" spans="1:10">
      <c r="A38" s="37" t="s">
        <v>6</v>
      </c>
      <c r="B38" s="38">
        <f t="shared" si="1"/>
        <v>0.86097096774193549</v>
      </c>
      <c r="C38" s="38">
        <f t="shared" si="1"/>
        <v>0.80015999999999998</v>
      </c>
      <c r="D38" s="38">
        <f t="shared" si="1"/>
        <v>0.78408080808080816</v>
      </c>
      <c r="E38" s="38">
        <f t="shared" si="1"/>
        <v>0.74708813559322029</v>
      </c>
      <c r="F38" s="38">
        <f t="shared" si="1"/>
        <v>0.87708363636363629</v>
      </c>
      <c r="G38" s="38">
        <f t="shared" si="1"/>
        <v>0.73063636363636364</v>
      </c>
      <c r="H38" s="38">
        <f t="shared" si="1"/>
        <v>0.68405109489051086</v>
      </c>
      <c r="I38" s="38">
        <f t="shared" si="1"/>
        <v>0.48</v>
      </c>
      <c r="J38" s="41">
        <f ca="1">OFFSET(B38,0,推計!$C$4-1)</f>
        <v>0.73063636363636364</v>
      </c>
    </row>
    <row r="39" spans="1:10">
      <c r="A39" s="37" t="s">
        <v>92</v>
      </c>
      <c r="B39" s="38">
        <f t="shared" si="1"/>
        <v>0.74486451612903226</v>
      </c>
      <c r="C39" s="38">
        <f t="shared" si="1"/>
        <v>0.72020000000000006</v>
      </c>
      <c r="D39" s="38">
        <f t="shared" si="1"/>
        <v>0.71430976430976434</v>
      </c>
      <c r="E39" s="38">
        <f t="shared" si="1"/>
        <v>0.67952203389830512</v>
      </c>
      <c r="F39" s="38">
        <f t="shared" si="1"/>
        <v>0.75385454545454544</v>
      </c>
      <c r="G39" s="38">
        <f t="shared" si="1"/>
        <v>0.65172727272727271</v>
      </c>
      <c r="H39" s="38">
        <f t="shared" si="1"/>
        <v>0.6432992700729927</v>
      </c>
      <c r="I39" s="38">
        <f t="shared" si="1"/>
        <v>0.51700000000000002</v>
      </c>
      <c r="J39" s="41">
        <f ca="1">OFFSET(B39,0,推計!$C$4-1)</f>
        <v>0.65172727272727271</v>
      </c>
    </row>
    <row r="40" spans="1:10">
      <c r="A40" s="37" t="s">
        <v>9</v>
      </c>
      <c r="B40" s="38">
        <f t="shared" si="1"/>
        <v>0.53038387096774198</v>
      </c>
      <c r="C40" s="38">
        <f t="shared" si="1"/>
        <v>0.54160000000000008</v>
      </c>
      <c r="D40" s="38">
        <f t="shared" si="1"/>
        <v>0.54396296296296298</v>
      </c>
      <c r="E40" s="38">
        <f t="shared" si="1"/>
        <v>0.51873559322033902</v>
      </c>
      <c r="F40" s="38">
        <f t="shared" si="1"/>
        <v>0.53385454545454547</v>
      </c>
      <c r="G40" s="38">
        <f t="shared" si="1"/>
        <v>0.51522727272727276</v>
      </c>
      <c r="H40" s="38">
        <f t="shared" si="1"/>
        <v>0.51859854014598539</v>
      </c>
      <c r="I40" s="38">
        <f t="shared" si="1"/>
        <v>0.505</v>
      </c>
      <c r="J40" s="41">
        <f ca="1">OFFSET(B40,0,推計!$C$4-1)</f>
        <v>0.51522727272727276</v>
      </c>
    </row>
    <row r="41" spans="1:10">
      <c r="A41" s="37" t="s">
        <v>93</v>
      </c>
      <c r="B41" s="38">
        <f t="shared" si="1"/>
        <v>0.33970322580645163</v>
      </c>
      <c r="C41" s="38">
        <f t="shared" si="1"/>
        <v>0.35492000000000001</v>
      </c>
      <c r="D41" s="38">
        <f t="shared" si="1"/>
        <v>0.36813131313131309</v>
      </c>
      <c r="E41" s="38">
        <f t="shared" si="1"/>
        <v>0.33947457627118643</v>
      </c>
      <c r="F41" s="38">
        <f t="shared" si="1"/>
        <v>0.32705454545454543</v>
      </c>
      <c r="G41" s="38">
        <f t="shared" si="1"/>
        <v>0.36199999999999999</v>
      </c>
      <c r="H41" s="38">
        <f t="shared" si="1"/>
        <v>0.3516788321167883</v>
      </c>
      <c r="I41" s="38">
        <f t="shared" si="1"/>
        <v>0.41099999999999998</v>
      </c>
      <c r="J41" s="41">
        <f ca="1">OFFSET(B41,0,推計!$C$4-1)</f>
        <v>0.36199999999999999</v>
      </c>
    </row>
    <row r="42" spans="1:10">
      <c r="A42" s="37" t="s">
        <v>94</v>
      </c>
      <c r="B42" s="35">
        <f t="shared" si="1"/>
        <v>0</v>
      </c>
      <c r="C42" s="35">
        <f t="shared" si="1"/>
        <v>0</v>
      </c>
      <c r="D42" s="35">
        <f t="shared" si="1"/>
        <v>0</v>
      </c>
      <c r="E42" s="35">
        <f t="shared" si="1"/>
        <v>0</v>
      </c>
      <c r="F42" s="35">
        <f t="shared" si="1"/>
        <v>0</v>
      </c>
      <c r="G42" s="35">
        <f t="shared" si="1"/>
        <v>0</v>
      </c>
      <c r="H42" s="35">
        <f t="shared" si="1"/>
        <v>0</v>
      </c>
      <c r="I42" s="35">
        <f t="shared" si="1"/>
        <v>0</v>
      </c>
      <c r="J42" s="40">
        <f ca="1">OFFSET(B42,0,推計!$C$4-1)</f>
        <v>0</v>
      </c>
    </row>
    <row r="43" spans="1:10">
      <c r="A43" s="32"/>
      <c r="B43" s="32"/>
      <c r="C43" s="32"/>
      <c r="D43" s="32"/>
      <c r="E43" s="32"/>
      <c r="F43" s="32"/>
      <c r="G43" s="32"/>
      <c r="H43" s="32"/>
      <c r="I43" s="32"/>
    </row>
    <row r="44" spans="1:10">
      <c r="A44" s="32" t="s">
        <v>62</v>
      </c>
      <c r="B44" s="32">
        <f t="shared" ref="B44:I44" si="2">VLOOKUP(B$32,暖冷房日,2,FALSE)</f>
        <v>257</v>
      </c>
      <c r="C44" s="32">
        <f t="shared" si="2"/>
        <v>252</v>
      </c>
      <c r="D44" s="32">
        <f t="shared" si="2"/>
        <v>244</v>
      </c>
      <c r="E44" s="32">
        <f t="shared" si="2"/>
        <v>242</v>
      </c>
      <c r="F44" s="32">
        <f t="shared" si="2"/>
        <v>218</v>
      </c>
      <c r="G44" s="32">
        <f t="shared" si="2"/>
        <v>169</v>
      </c>
      <c r="H44" s="32">
        <f t="shared" si="2"/>
        <v>122</v>
      </c>
      <c r="I44" s="32">
        <f t="shared" si="2"/>
        <v>0</v>
      </c>
    </row>
    <row r="45" spans="1:10">
      <c r="A45" s="32" t="s">
        <v>63</v>
      </c>
      <c r="B45" s="32">
        <f t="shared" ref="B45:I45" si="3">VLOOKUP(B$32,暖冷房日,3,FALSE)</f>
        <v>53</v>
      </c>
      <c r="C45" s="32">
        <f t="shared" si="3"/>
        <v>48</v>
      </c>
      <c r="D45" s="32">
        <f t="shared" si="3"/>
        <v>53</v>
      </c>
      <c r="E45" s="32">
        <f t="shared" si="3"/>
        <v>53</v>
      </c>
      <c r="F45" s="32">
        <f t="shared" si="3"/>
        <v>57</v>
      </c>
      <c r="G45" s="32">
        <f t="shared" si="3"/>
        <v>117</v>
      </c>
      <c r="H45" s="32">
        <f t="shared" si="3"/>
        <v>152</v>
      </c>
      <c r="I45" s="32">
        <f t="shared" si="3"/>
        <v>265</v>
      </c>
    </row>
    <row r="46" spans="1:10">
      <c r="A46" s="32" t="s">
        <v>96</v>
      </c>
      <c r="B46" s="32">
        <f>SUM(B44:B45)</f>
        <v>310</v>
      </c>
      <c r="C46" s="32">
        <f t="shared" ref="C46:I46" si="4">SUM(C44:C45)</f>
        <v>300</v>
      </c>
      <c r="D46" s="32">
        <f t="shared" si="4"/>
        <v>297</v>
      </c>
      <c r="E46" s="32">
        <f t="shared" si="4"/>
        <v>295</v>
      </c>
      <c r="F46" s="32">
        <f t="shared" si="4"/>
        <v>275</v>
      </c>
      <c r="G46" s="32">
        <f t="shared" si="4"/>
        <v>286</v>
      </c>
      <c r="H46" s="32">
        <f t="shared" si="4"/>
        <v>274</v>
      </c>
      <c r="I46" s="32">
        <f t="shared" si="4"/>
        <v>265</v>
      </c>
    </row>
  </sheetData>
  <mergeCells count="6">
    <mergeCell ref="A3:A4"/>
    <mergeCell ref="B3:I3"/>
    <mergeCell ref="A17:A18"/>
    <mergeCell ref="B17:I17"/>
    <mergeCell ref="A31:A32"/>
    <mergeCell ref="B31:I31"/>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0ECA6-4A4F-4A90-A8CD-36936F997297}">
  <dimension ref="A1:C11"/>
  <sheetViews>
    <sheetView zoomScale="85" zoomScaleNormal="85" workbookViewId="0">
      <selection activeCell="H39" sqref="H39"/>
    </sheetView>
  </sheetViews>
  <sheetFormatPr defaultRowHeight="18"/>
  <sheetData>
    <row r="1" spans="1:3">
      <c r="A1" t="s">
        <v>61</v>
      </c>
    </row>
    <row r="3" spans="1:3">
      <c r="A3" s="16" t="s">
        <v>60</v>
      </c>
      <c r="B3" s="16" t="s">
        <v>62</v>
      </c>
      <c r="C3" s="16" t="s">
        <v>63</v>
      </c>
    </row>
    <row r="4" spans="1:3">
      <c r="A4" s="2">
        <v>1</v>
      </c>
      <c r="B4" s="2">
        <v>257</v>
      </c>
      <c r="C4" s="2">
        <v>53</v>
      </c>
    </row>
    <row r="5" spans="1:3">
      <c r="A5" s="2">
        <v>2</v>
      </c>
      <c r="B5" s="2">
        <v>252</v>
      </c>
      <c r="C5" s="2">
        <v>48</v>
      </c>
    </row>
    <row r="6" spans="1:3">
      <c r="A6" s="2">
        <v>3</v>
      </c>
      <c r="B6" s="2">
        <v>244</v>
      </c>
      <c r="C6" s="2">
        <v>53</v>
      </c>
    </row>
    <row r="7" spans="1:3">
      <c r="A7" s="2">
        <v>4</v>
      </c>
      <c r="B7" s="2">
        <v>242</v>
      </c>
      <c r="C7" s="2">
        <v>53</v>
      </c>
    </row>
    <row r="8" spans="1:3">
      <c r="A8" s="2">
        <v>5</v>
      </c>
      <c r="B8" s="2">
        <v>218</v>
      </c>
      <c r="C8" s="2">
        <v>57</v>
      </c>
    </row>
    <row r="9" spans="1:3">
      <c r="A9" s="2">
        <v>6</v>
      </c>
      <c r="B9" s="2">
        <v>169</v>
      </c>
      <c r="C9" s="2">
        <v>117</v>
      </c>
    </row>
    <row r="10" spans="1:3">
      <c r="A10" s="2">
        <v>7</v>
      </c>
      <c r="B10" s="2">
        <v>122</v>
      </c>
      <c r="C10" s="2">
        <v>152</v>
      </c>
    </row>
    <row r="11" spans="1:3">
      <c r="A11" s="2">
        <v>8</v>
      </c>
      <c r="B11" s="2">
        <v>0</v>
      </c>
      <c r="C11" s="2">
        <v>265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26</vt:i4>
      </vt:variant>
    </vt:vector>
  </HeadingPairs>
  <TitlesOfParts>
    <vt:vector size="32" baseType="lpstr">
      <vt:lpstr>推計</vt:lpstr>
      <vt:lpstr>面積</vt:lpstr>
      <vt:lpstr>外壁等の仕様(戸建て)</vt:lpstr>
      <vt:lpstr>外壁等の仕様(共同)</vt:lpstr>
      <vt:lpstr>方位係数</vt:lpstr>
      <vt:lpstr>暖冷房日</vt:lpstr>
      <vt:lpstr>MR_A</vt:lpstr>
      <vt:lpstr>MR_A_C_EW</vt:lpstr>
      <vt:lpstr>MR_A_E_EW</vt:lpstr>
      <vt:lpstr>MR_A_N_EW</vt:lpstr>
      <vt:lpstr>MR_A_S_EW</vt:lpstr>
      <vt:lpstr>MR_A_W_EW</vt:lpstr>
      <vt:lpstr>MR_VENT</vt:lpstr>
      <vt:lpstr>MR_VOL</vt:lpstr>
      <vt:lpstr>NO_A</vt:lpstr>
      <vt:lpstr>NO_A_C_EW</vt:lpstr>
      <vt:lpstr>NO_A_E_EW</vt:lpstr>
      <vt:lpstr>NO_A_N_EW</vt:lpstr>
      <vt:lpstr>NO_A_S_EW</vt:lpstr>
      <vt:lpstr>NO_A_W_EW</vt:lpstr>
      <vt:lpstr>NO_VENT</vt:lpstr>
      <vt:lpstr>NO_VOL</vt:lpstr>
      <vt:lpstr>OR_A</vt:lpstr>
      <vt:lpstr>OR_A_C_EW</vt:lpstr>
      <vt:lpstr>OR_A_E_EW</vt:lpstr>
      <vt:lpstr>OR_A_N_EW</vt:lpstr>
      <vt:lpstr>OR_A_S_EW</vt:lpstr>
      <vt:lpstr>OR_A_W_EW</vt:lpstr>
      <vt:lpstr>OR_VENT</vt:lpstr>
      <vt:lpstr>OR_VOL</vt:lpstr>
      <vt:lpstr>暖冷房日</vt:lpstr>
      <vt:lpstr>年間平均の方位係数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dc:creator>
  <cp:lastModifiedBy>uda</cp:lastModifiedBy>
  <dcterms:created xsi:type="dcterms:W3CDTF">2022-12-19T03:50:19Z</dcterms:created>
  <dcterms:modified xsi:type="dcterms:W3CDTF">2024-01-31T12:32:11Z</dcterms:modified>
</cp:coreProperties>
</file>