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atoh\Documents\sourcetree\heat_load_calc\test\test_singlezone\steady_06\"/>
    </mc:Choice>
  </mc:AlternateContent>
  <xr:revisionPtr revIDLastSave="0" documentId="13_ncr:1_{C74D2E3C-7388-499F-B63A-3F66CCC99735}" xr6:coauthVersionLast="47" xr6:coauthVersionMax="47" xr10:uidLastSave="{00000000-0000-0000-0000-000000000000}"/>
  <bookViews>
    <workbookView xWindow="390" yWindow="390" windowWidth="21345" windowHeight="12570" activeTab="1" xr2:uid="{45A1B7A6-7409-41F9-BB10-4729754C71E5}"/>
  </bookViews>
  <sheets>
    <sheet name="熱伝達率" sheetId="2" r:id="rId1"/>
    <sheet name="正解値" sheetId="1" r:id="rId2"/>
  </sheets>
  <externalReferences>
    <externalReference r:id="rId3"/>
  </externalReferences>
  <calcPr calcId="191029" iterate="1" iterateDelta="1E-1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8" i="1" l="1"/>
  <c r="X24" i="1"/>
  <c r="X25" i="1"/>
  <c r="X26" i="1"/>
  <c r="B4" i="2"/>
  <c r="B5" i="2"/>
  <c r="B6" i="2"/>
  <c r="B7" i="2"/>
  <c r="B8" i="2"/>
  <c r="B3" i="2"/>
  <c r="E8" i="2"/>
  <c r="A8" i="2"/>
  <c r="E7" i="2"/>
  <c r="A7" i="2"/>
  <c r="E6" i="2"/>
  <c r="A6" i="2"/>
  <c r="E5" i="2"/>
  <c r="A5" i="2"/>
  <c r="E4" i="2"/>
  <c r="A4" i="2"/>
  <c r="E3" i="2"/>
  <c r="A3" i="2"/>
  <c r="B9" i="2" l="1"/>
  <c r="C6" i="2"/>
  <c r="D6" i="2" s="1"/>
  <c r="F6" i="2" s="1"/>
  <c r="L26" i="1" s="1"/>
  <c r="C5" i="2"/>
  <c r="D5" i="2" s="1"/>
  <c r="F5" i="2" s="1"/>
  <c r="L25" i="1" s="1"/>
  <c r="C4" i="2"/>
  <c r="D4" i="2" s="1"/>
  <c r="F4" i="2" s="1"/>
  <c r="L24" i="1" s="1"/>
  <c r="C8" i="2"/>
  <c r="D8" i="2" s="1"/>
  <c r="F8" i="2" s="1"/>
  <c r="L28" i="1" s="1"/>
  <c r="C7" i="2"/>
  <c r="D7" i="2" s="1"/>
  <c r="F7" i="2" s="1"/>
  <c r="L27" i="1" s="1"/>
  <c r="C3" i="2"/>
  <c r="D3" i="2" s="1"/>
  <c r="R27" i="1"/>
  <c r="D9" i="2" l="1"/>
  <c r="F3" i="2"/>
  <c r="L23" i="1" s="1"/>
  <c r="I28" i="1"/>
  <c r="I27" i="1"/>
  <c r="I26" i="1"/>
  <c r="I24" i="1"/>
  <c r="I23" i="1"/>
  <c r="D24" i="1" l="1"/>
  <c r="P28" i="1" l="1"/>
  <c r="P27" i="1"/>
  <c r="I25" i="1" l="1"/>
  <c r="X23" i="1" l="1"/>
  <c r="M23" i="1"/>
  <c r="N23" i="1"/>
  <c r="P23" i="1"/>
  <c r="Q23" i="1"/>
  <c r="S23" i="1"/>
  <c r="T23" i="1"/>
  <c r="U23" i="1"/>
  <c r="V23" i="1"/>
  <c r="W23" i="1"/>
  <c r="Y23" i="1"/>
  <c r="Z23" i="1"/>
  <c r="M24" i="1"/>
  <c r="N24" i="1"/>
  <c r="P24" i="1"/>
  <c r="Q24" i="1"/>
  <c r="S24" i="1"/>
  <c r="T24" i="1"/>
  <c r="U24" i="1"/>
  <c r="V24" i="1"/>
  <c r="W24" i="1"/>
  <c r="Z24" i="1"/>
  <c r="M25" i="1"/>
  <c r="N25" i="1"/>
  <c r="P25" i="1"/>
  <c r="Q25" i="1"/>
  <c r="S25" i="1"/>
  <c r="T25" i="1"/>
  <c r="U25" i="1"/>
  <c r="V25" i="1"/>
  <c r="W25" i="1"/>
  <c r="Z25" i="1"/>
  <c r="M26" i="1"/>
  <c r="N26" i="1"/>
  <c r="P26" i="1"/>
  <c r="Q26" i="1"/>
  <c r="S26" i="1"/>
  <c r="T26" i="1"/>
  <c r="U26" i="1"/>
  <c r="V26" i="1"/>
  <c r="W26" i="1"/>
  <c r="Z26" i="1"/>
  <c r="D27" i="1"/>
  <c r="M27" i="1"/>
  <c r="N27" i="1"/>
  <c r="Q27" i="1"/>
  <c r="S27" i="1"/>
  <c r="T27" i="1"/>
  <c r="U27" i="1"/>
  <c r="V27" i="1"/>
  <c r="W27" i="1"/>
  <c r="Z27" i="1"/>
  <c r="M28" i="1"/>
  <c r="N28" i="1"/>
  <c r="Q28" i="1"/>
  <c r="S28" i="1"/>
  <c r="T28" i="1"/>
  <c r="U28" i="1"/>
  <c r="V28" i="1"/>
  <c r="W28" i="1"/>
  <c r="Z28" i="1"/>
  <c r="D31" i="1"/>
  <c r="D32" i="1"/>
  <c r="D33" i="1"/>
  <c r="D34" i="1"/>
  <c r="D35" i="1"/>
</calcChain>
</file>

<file path=xl/sharedStrings.xml><?xml version="1.0" encoding="utf-8"?>
<sst xmlns="http://schemas.openxmlformats.org/spreadsheetml/2006/main" count="108" uniqueCount="88">
  <si>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</si>
  <si>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</si>
  <si>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</si>
  <si>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</si>
  <si>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</si>
  <si>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</si>
  <si>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</si>
  <si>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</si>
  <si>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</si>
  <si>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</si>
  <si>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</si>
  <si>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</si>
  <si>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</si>
  <si>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</si>
  <si>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</si>
  <si>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</si>
  <si>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</si>
  <si>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</si>
  <si>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</si>
  <si>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</si>
  <si>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</si>
  <si>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</si>
  <si>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</si>
  <si>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</si>
  <si>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</si>
  <si>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</si>
  <si>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</si>
  <si>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</si>
  <si>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</si>
  <si>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</si>
  <si>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</si>
  <si>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</si>
  <si>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</si>
  <si>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</si>
  <si>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</si>
  <si>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</si>
  <si>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</si>
  <si>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</si>
  <si>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</si>
  <si>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</si>
  <si>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</si>
  <si>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計算条件</t>
    <rPh sb="0" eb="2">
      <t>ケイサン</t>
    </rPh>
    <rPh sb="2" eb="4">
      <t>ジョウケン</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</si>
  <si>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</si>
  <si>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</si>
  <si>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</si>
  <si>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</si>
  <si>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換気回数</t>
    <rPh sb="0" eb="2">
      <t>カンキ</t>
    </rPh>
    <rPh sb="2" eb="4">
      <t>カイスウ</t>
    </rPh>
    <phoneticPr fontId="1"/>
  </si>
  <si>
    <t>㎥/s</t>
    <phoneticPr fontId="1"/>
  </si>
  <si>
    <t>物性値</t>
    <rPh sb="0" eb="3">
      <t>ブッセイチ</t>
    </rPh>
    <phoneticPr fontId="1"/>
  </si>
  <si>
    <t>空気</t>
    <rPh sb="0" eb="2">
      <t>クウキ</t>
    </rPh>
    <phoneticPr fontId="1"/>
  </si>
  <si>
    <t>kg/㎥</t>
    <phoneticPr fontId="1"/>
  </si>
  <si>
    <t>J/(㎥･K)</t>
    <phoneticPr fontId="1"/>
  </si>
  <si>
    <t>J/(kg･K)</t>
    <phoneticPr fontId="1"/>
  </si>
  <si>
    <t>比熱</t>
    <rPh sb="0" eb="1">
      <t>ヒ</t>
    </rPh>
    <rPh sb="1" eb="2">
      <t>アツ</t>
    </rPh>
    <phoneticPr fontId="1"/>
  </si>
  <si>
    <t>密度</t>
    <rPh sb="0" eb="2">
      <t>ミツド</t>
    </rPh>
    <phoneticPr fontId="1"/>
  </si>
  <si>
    <t>容積比熱</t>
    <rPh sb="0" eb="2">
      <t>ヨウセキ</t>
    </rPh>
    <rPh sb="2" eb="3">
      <t>ヒ</t>
    </rPh>
    <rPh sb="3" eb="4">
      <t>アツ</t>
    </rPh>
    <phoneticPr fontId="1"/>
  </si>
  <si>
    <t>対流</t>
    <rPh sb="0" eb="2">
      <t>タイリュウ</t>
    </rPh>
    <phoneticPr fontId="1"/>
  </si>
  <si>
    <t>換気</t>
    <rPh sb="0" eb="2">
      <t>カンキ</t>
    </rPh>
    <phoneticPr fontId="1"/>
  </si>
  <si>
    <t>空気
熱損失</t>
    <rPh sb="0" eb="2">
      <t>クウキ</t>
    </rPh>
    <phoneticPr fontId="1"/>
  </si>
  <si>
    <t>合計</t>
    <rPh sb="0" eb="2">
      <t>ゴウケイ</t>
    </rPh>
    <phoneticPr fontId="1"/>
  </si>
  <si>
    <t>室空気からの対流熱損失は、対流熱損失と換気熱損失より求める。</t>
    <rPh sb="13" eb="15">
      <t>タイリュウ</t>
    </rPh>
    <rPh sb="15" eb="16">
      <t>アツ</t>
    </rPh>
    <rPh sb="16" eb="18">
      <t>ソンシツ</t>
    </rPh>
    <rPh sb="19" eb="21">
      <t>カンキ</t>
    </rPh>
    <rPh sb="21" eb="22">
      <t>ネツ</t>
    </rPh>
    <rPh sb="22" eb="24">
      <t>ソンシツ</t>
    </rPh>
    <rPh sb="26" eb="27">
      <t>モト</t>
    </rPh>
    <phoneticPr fontId="1"/>
  </si>
  <si>
    <t>対流熱損失は、室空気と表面温度の温度差、対流熱伝達率より求める。</t>
    <rPh sb="7" eb="8">
      <t>シツ</t>
    </rPh>
    <rPh sb="8" eb="10">
      <t>クウキ</t>
    </rPh>
    <rPh sb="11" eb="14">
      <t>ヒョウメンオン</t>
    </rPh>
    <rPh sb="14" eb="15">
      <t>ド</t>
    </rPh>
    <rPh sb="16" eb="17">
      <t>アタタ</t>
    </rPh>
    <rPh sb="17" eb="18">
      <t>ド</t>
    </rPh>
    <rPh sb="18" eb="19">
      <t>サ</t>
    </rPh>
    <rPh sb="20" eb="22">
      <t>タイリュウ</t>
    </rPh>
    <rPh sb="22" eb="23">
      <t>アツ</t>
    </rPh>
    <rPh sb="23" eb="24">
      <t>ツタ</t>
    </rPh>
    <rPh sb="24" eb="25">
      <t>タツ</t>
    </rPh>
    <rPh sb="25" eb="26">
      <t>リツ</t>
    </rPh>
    <rPh sb="28" eb="29">
      <t>モト</t>
    </rPh>
    <phoneticPr fontId="1"/>
  </si>
  <si>
    <t>換気熱損失は、室空気と外気の温度差、空気の容積比熱より求める。</t>
    <rPh sb="0" eb="2">
      <t>カンキ</t>
    </rPh>
    <rPh sb="7" eb="8">
      <t>シツ</t>
    </rPh>
    <rPh sb="8" eb="10">
      <t>クウキ</t>
    </rPh>
    <rPh sb="11" eb="13">
      <t>ガイキ</t>
    </rPh>
    <rPh sb="14" eb="15">
      <t>アタタ</t>
    </rPh>
    <rPh sb="15" eb="16">
      <t>ド</t>
    </rPh>
    <rPh sb="16" eb="17">
      <t>サ</t>
    </rPh>
    <rPh sb="18" eb="20">
      <t>クウキ</t>
    </rPh>
    <rPh sb="21" eb="23">
      <t>ヨウセキ</t>
    </rPh>
    <rPh sb="23" eb="25">
      <t>ヒネツ</t>
    </rPh>
    <rPh sb="27" eb="28">
      <t>モト</t>
    </rPh>
    <phoneticPr fontId="1"/>
  </si>
  <si>
    <t>1㎥/h</t>
    <phoneticPr fontId="1"/>
  </si>
  <si>
    <t>内部発熱なし。</t>
    <rPh sb="0" eb="4">
      <t>ウチブハツアツ</t>
    </rPh>
    <phoneticPr fontId="1"/>
  </si>
  <si>
    <t>透過日射</t>
    <rPh sb="0" eb="2">
      <t>トウカ</t>
    </rPh>
    <rPh sb="2" eb="3">
      <t>ヒ</t>
    </rPh>
    <rPh sb="3" eb="4">
      <t>イ</t>
    </rPh>
    <phoneticPr fontId="1"/>
  </si>
  <si>
    <t>透過日射床分配割合</t>
    <rPh sb="0" eb="2">
      <t>トウカ</t>
    </rPh>
    <rPh sb="2" eb="3">
      <t>ヒ</t>
    </rPh>
    <rPh sb="3" eb="4">
      <t>イ</t>
    </rPh>
    <rPh sb="4" eb="5">
      <t>ユカ</t>
    </rPh>
    <rPh sb="5" eb="6">
      <t>ブ</t>
    </rPh>
    <rPh sb="6" eb="7">
      <t>クバ</t>
    </rPh>
    <rPh sb="7" eb="9">
      <t>ワリアイ</t>
    </rPh>
    <phoneticPr fontId="1"/>
  </si>
  <si>
    <t>床の単位面積あたり透過日射は、室の透過日射と、床への分配割合、床面積より求める。</t>
    <rPh sb="0" eb="1">
      <t>ユカ</t>
    </rPh>
    <rPh sb="15" eb="16">
      <t>シツ</t>
    </rPh>
    <rPh sb="23" eb="24">
      <t>ユカ</t>
    </rPh>
    <rPh sb="26" eb="28">
      <t>ブクバ</t>
    </rPh>
    <rPh sb="28" eb="30">
      <t>ワリアイ</t>
    </rPh>
    <rPh sb="31" eb="34">
      <t>ユカメンセキ</t>
    </rPh>
    <rPh sb="36" eb="37">
      <t>モト</t>
    </rPh>
    <phoneticPr fontId="1"/>
  </si>
  <si>
    <t>室空気からの熱損失が、内部発熱と床への分配分を除外した透過日射の合計と一致するよう収束計算を行い、室温等を決定する。</t>
    <rPh sb="0" eb="1">
      <t>シツ</t>
    </rPh>
    <rPh sb="1" eb="3">
      <t>クウキ</t>
    </rPh>
    <rPh sb="16" eb="17">
      <t>ユカ</t>
    </rPh>
    <rPh sb="19" eb="21">
      <t>ブンパイ</t>
    </rPh>
    <rPh sb="21" eb="22">
      <t>ブン</t>
    </rPh>
    <rPh sb="23" eb="25">
      <t>ジョガイ</t>
    </rPh>
    <rPh sb="27" eb="29">
      <t>トウカ</t>
    </rPh>
    <rPh sb="29" eb="30">
      <t>ヒ</t>
    </rPh>
    <rPh sb="30" eb="31">
      <t>イ</t>
    </rPh>
    <rPh sb="32" eb="34">
      <t>ゴウケイ</t>
    </rPh>
    <rPh sb="46" eb="47">
      <t>オコナ</t>
    </rPh>
    <rPh sb="49" eb="51">
      <t>シツオン</t>
    </rPh>
    <rPh sb="51" eb="52">
      <t>トウ</t>
    </rPh>
    <rPh sb="53" eb="55">
      <t>ケッテイ</t>
    </rPh>
    <phoneticPr fontId="1"/>
  </si>
  <si>
    <t>W/㎡</t>
  </si>
  <si>
    <t>透過日射</t>
    <rPh sb="0" eb="2">
      <t>トウカ</t>
    </rPh>
    <rPh sb="2" eb="3">
      <t>ヒ</t>
    </rPh>
    <rPh sb="3" eb="4">
      <t>イ</t>
    </rPh>
    <phoneticPr fontId="1"/>
  </si>
  <si>
    <t>作用温度は、室空気温度、微小球温度、対流熱伝達率、放射熱伝達率より求める。床では、単位面積あたり透過日射も考慮する。</t>
    <rPh sb="0" eb="2">
      <t>サヨウ</t>
    </rPh>
    <rPh sb="2" eb="3">
      <t>アタタ</t>
    </rPh>
    <rPh sb="3" eb="4">
      <t>ド</t>
    </rPh>
    <rPh sb="6" eb="7">
      <t>シツ</t>
    </rPh>
    <rPh sb="7" eb="11">
      <t>クウキオンド</t>
    </rPh>
    <rPh sb="12" eb="14">
      <t>ビショウ</t>
    </rPh>
    <rPh sb="14" eb="15">
      <t>キュウ</t>
    </rPh>
    <rPh sb="15" eb="17">
      <t>オンド</t>
    </rPh>
    <rPh sb="33" eb="34">
      <t>モト</t>
    </rPh>
    <rPh sb="53" eb="55">
      <t>コウリョ</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</si>
  <si>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</si>
  <si>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</si>
  <si>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</si>
  <si>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</si>
  <si>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</si>
  <si>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</si>
  <si>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</si>
  <si>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</si>
  <si>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</si>
  <si>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</si>
  <si>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</si>
  <si>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</si>
  <si>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相当外気温度0℃、透過日射100W。</t>
    <rPh sb="0" eb="4">
      <t>ソウトウガイキ</t>
    </rPh>
    <rPh sb="4" eb="5">
      <t>アタタ</t>
    </rPh>
    <rPh sb="5" eb="6">
      <t>ド</t>
    </rPh>
    <rPh sb="9" eb="11">
      <t>トウカ</t>
    </rPh>
    <rPh sb="11" eb="12">
      <t>ヒ</t>
    </rPh>
    <rPh sb="12" eb="13">
      <t>イ</t>
    </rPh>
    <phoneticPr fontId="1"/>
  </si>
  <si>
    <t>人体に対する形態係数</t>
    <rPh sb="0" eb="2">
      <t>ジンタイ</t>
    </rPh>
    <rPh sb="3" eb="4">
      <t>タイ</t>
    </rPh>
    <rPh sb="6" eb="8">
      <t>ケイタイ</t>
    </rPh>
    <rPh sb="8" eb="10">
      <t>ケイスウ</t>
    </rPh>
    <phoneticPr fontId="1"/>
  </si>
  <si>
    <t>人体に対する平均放射温度</t>
    <rPh sb="0" eb="2">
      <t>ジンタイ</t>
    </rPh>
    <rPh sb="3" eb="4">
      <t>タイ</t>
    </rPh>
    <rPh sb="6" eb="8">
      <t>ヘイキン</t>
    </rPh>
    <rPh sb="8" eb="10">
      <t>ホウシャ</t>
    </rPh>
    <rPh sb="10" eb="12">
      <t>オンド</t>
    </rPh>
    <phoneticPr fontId="1"/>
  </si>
  <si>
    <t>等価室温</t>
    <rPh sb="0" eb="2">
      <t>トウカ</t>
    </rPh>
    <rPh sb="2" eb="4">
      <t>シツオン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</si>
</sst>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000000000"/>
    <numFmt numFmtId="177" formatCode="0.00000000000"/>
    <numFmt numFmtId="178" formatCode="0.000"/>
    <numFmt numFmtId="179"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3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lignment vertical="center"/>
    </xf>
    <xf numFmtId="176"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lignment vertical="center"/>
    </xf>
    <xf numFmtId="177" fontId="0" fillId="0" borderId="1" xfId="0" applyNumberFormat="1" applyFill="1" applyBorder="1">
      <alignment vertical="center"/>
    </xf>
    <xf numFmtId="0" fontId="0" fillId="0" borderId="1" xfId="0" applyBorder="1" applyAlignment="1">
      <alignment horizontal="center"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8" fontId="2" fillId="0" borderId="1" xfId="1" applyNumberFormat="1" applyBorder="1">
      <alignment vertical="center"/>
    </xf>
    <xf numFmtId="179" fontId="2" fillId="0" borderId="1" xfId="1" applyNumberFormat="1" applyBorder="1">
      <alignment vertical="center"/>
    </xf>
    <xf numFmtId="179" fontId="2" fillId="2" borderId="1" xfId="1" applyNumberFormat="1"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xf>
    <xf numFmtId="0" fontId="0" fillId="0" borderId="5" xfId="0" applyBorder="1">
      <alignment vertical="center"/>
    </xf>
  </cellXfs>
  <cellStyles count="2">
    <cellStyle name="標準" xfId="0" builtinId="0"/>
    <cellStyle name="標準 2" xfId="1" xr:uid="{FDFCF91B-4268-44BE-B85B-3219AF36E5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86AB42E6-2465-4BF1-B11E-26C47E726AE1}"/>
            </a:ext>
          </a:extLst>
        </xdr:cNvPr>
        <xdr:cNvSpPr txBox="1"/>
      </xdr:nvSpPr>
      <xdr:spPr>
        <a:xfrm>
          <a:off x="534162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ikawa/Desktop/&#27491;&#35299;&#205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熱伝達率"/>
      <sheetName val="正解値"/>
    </sheetNames>
    <sheetDataSet>
      <sheetData sheetId="0"/>
      <sheetData sheetId="1">
        <row r="20">
          <cell r="H20" t="str">
            <v>壁</v>
          </cell>
          <cell r="K20">
            <v>0.9</v>
          </cell>
        </row>
        <row r="21">
          <cell r="H21" t="str">
            <v>壁</v>
          </cell>
          <cell r="K21">
            <v>0.9</v>
          </cell>
        </row>
        <row r="22">
          <cell r="H22" t="str">
            <v>壁</v>
          </cell>
          <cell r="K22">
            <v>0.9</v>
          </cell>
        </row>
        <row r="23">
          <cell r="H23" t="str">
            <v>壁</v>
          </cell>
          <cell r="K23">
            <v>0.9</v>
          </cell>
        </row>
        <row r="24">
          <cell r="H24" t="str">
            <v>床</v>
          </cell>
          <cell r="K24">
            <v>0.9</v>
          </cell>
        </row>
        <row r="25">
          <cell r="H25" t="str">
            <v>屋根</v>
          </cell>
          <cell r="K25">
            <v>0.9</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0BD2-17D5-49FF-838C-CD87363E756B}">
  <dimension ref="A1:H9"/>
  <sheetViews>
    <sheetView showGridLines="0" workbookViewId="0"/>
  </sheetViews>
  <sheetFormatPr defaultColWidth="8.75" defaultRowHeight="12" x14ac:dyDescent="0.4"/>
  <cols>
    <col min="1" max="1" width="19" style="18" bestFit="1" customWidth="1"/>
    <col min="2" max="2" width="6.375" style="18" bestFit="1" customWidth="1"/>
    <col min="3" max="3" width="5.875" style="18" bestFit="1" customWidth="1"/>
    <col min="4" max="4" width="13.25" style="18" customWidth="1"/>
    <col min="5" max="5" width="8.75" style="18"/>
    <col min="6" max="6" width="12.875" style="18" customWidth="1"/>
    <col min="7" max="16384" width="8.75" style="18"/>
  </cols>
  <sheetData>
    <row r="1" spans="1:8" x14ac:dyDescent="0.4">
      <c r="A1" s="17"/>
      <c r="B1" s="17"/>
      <c r="C1" s="17"/>
      <c r="D1" s="17"/>
      <c r="E1" s="17"/>
      <c r="F1" s="17" t="s">
        <v>72</v>
      </c>
    </row>
    <row r="2" spans="1:8" ht="24" x14ac:dyDescent="0.4">
      <c r="A2" s="17"/>
      <c r="B2" s="17" t="s">
        <v>73</v>
      </c>
      <c r="C2" s="17" t="s">
        <v>74</v>
      </c>
      <c r="D2" s="19" t="s">
        <v>75</v>
      </c>
      <c r="E2" s="17" t="s">
        <v>76</v>
      </c>
      <c r="F2" s="19" t="s">
        <v>77</v>
      </c>
      <c r="G2" s="17" t="s">
        <v>78</v>
      </c>
      <c r="H2" s="20">
        <v>1.199999999980782</v>
      </c>
    </row>
    <row r="3" spans="1:8" x14ac:dyDescent="0.4">
      <c r="A3" s="17" t="str">
        <f>[1]正解値!$H20</f>
        <v>壁</v>
      </c>
      <c r="B3" s="21">
        <f>正解値!$J23</f>
        <v>1</v>
      </c>
      <c r="C3" s="22">
        <f t="shared" ref="C3:C8" si="0">B3/$B$9</f>
        <v>0.16666666666666666</v>
      </c>
      <c r="D3" s="23">
        <f t="shared" ref="D3:D8" si="1">0.5*(1-SIGN(1-4*C3/$H$2)*SQRT(ABS(1-4*C3/$H$2)))</f>
        <v>0.16666666667000313</v>
      </c>
      <c r="E3" s="17">
        <f>[1]正解値!$K20</f>
        <v>0.9</v>
      </c>
      <c r="F3" s="23">
        <f t="shared" ref="F3:F8" si="2">E3/(1-E3*D3)*4*0.0000000567*($H$3+273.15)^3</f>
        <v>6.0497346947957293</v>
      </c>
      <c r="G3" s="17" t="s">
        <v>79</v>
      </c>
      <c r="H3" s="17">
        <v>20</v>
      </c>
    </row>
    <row r="4" spans="1:8" x14ac:dyDescent="0.4">
      <c r="A4" s="17" t="str">
        <f>[1]正解値!$H21</f>
        <v>壁</v>
      </c>
      <c r="B4" s="21">
        <f>正解値!$J24</f>
        <v>1</v>
      </c>
      <c r="C4" s="22">
        <f t="shared" si="0"/>
        <v>0.16666666666666666</v>
      </c>
      <c r="D4" s="23">
        <f t="shared" si="1"/>
        <v>0.16666666667000313</v>
      </c>
      <c r="E4" s="17">
        <f>[1]正解値!$K21</f>
        <v>0.9</v>
      </c>
      <c r="F4" s="23">
        <f t="shared" si="2"/>
        <v>6.0497346947957293</v>
      </c>
    </row>
    <row r="5" spans="1:8" x14ac:dyDescent="0.4">
      <c r="A5" s="17" t="str">
        <f>[1]正解値!$H22</f>
        <v>壁</v>
      </c>
      <c r="B5" s="21">
        <f>正解値!$J25</f>
        <v>1</v>
      </c>
      <c r="C5" s="22">
        <f t="shared" si="0"/>
        <v>0.16666666666666666</v>
      </c>
      <c r="D5" s="23">
        <f t="shared" si="1"/>
        <v>0.16666666667000313</v>
      </c>
      <c r="E5" s="17">
        <f>[1]正解値!$K22</f>
        <v>0.9</v>
      </c>
      <c r="F5" s="23">
        <f t="shared" si="2"/>
        <v>6.0497346947957293</v>
      </c>
    </row>
    <row r="6" spans="1:8" x14ac:dyDescent="0.4">
      <c r="A6" s="17" t="str">
        <f>[1]正解値!$H23</f>
        <v>壁</v>
      </c>
      <c r="B6" s="21">
        <f>正解値!$J26</f>
        <v>1</v>
      </c>
      <c r="C6" s="22">
        <f t="shared" si="0"/>
        <v>0.16666666666666666</v>
      </c>
      <c r="D6" s="23">
        <f t="shared" si="1"/>
        <v>0.16666666667000313</v>
      </c>
      <c r="E6" s="17">
        <f>[1]正解値!$K23</f>
        <v>0.9</v>
      </c>
      <c r="F6" s="23">
        <f t="shared" si="2"/>
        <v>6.0497346947957293</v>
      </c>
    </row>
    <row r="7" spans="1:8" x14ac:dyDescent="0.4">
      <c r="A7" s="17" t="str">
        <f>[1]正解値!$H24</f>
        <v>床</v>
      </c>
      <c r="B7" s="21">
        <f>正解値!$J27</f>
        <v>1</v>
      </c>
      <c r="C7" s="22">
        <f t="shared" si="0"/>
        <v>0.16666666666666666</v>
      </c>
      <c r="D7" s="23">
        <f t="shared" si="1"/>
        <v>0.16666666667000313</v>
      </c>
      <c r="E7" s="17">
        <f>[1]正解値!$K24</f>
        <v>0.9</v>
      </c>
      <c r="F7" s="23">
        <f t="shared" si="2"/>
        <v>6.0497346947957293</v>
      </c>
    </row>
    <row r="8" spans="1:8" x14ac:dyDescent="0.4">
      <c r="A8" s="17" t="str">
        <f>[1]正解値!$H25</f>
        <v>屋根</v>
      </c>
      <c r="B8" s="21">
        <f>正解値!$J28</f>
        <v>1</v>
      </c>
      <c r="C8" s="22">
        <f t="shared" si="0"/>
        <v>0.16666666666666666</v>
      </c>
      <c r="D8" s="23">
        <f t="shared" si="1"/>
        <v>0.16666666667000313</v>
      </c>
      <c r="E8" s="17">
        <f>[1]正解値!$K25</f>
        <v>0.9</v>
      </c>
      <c r="F8" s="23">
        <f t="shared" si="2"/>
        <v>6.0497346947957293</v>
      </c>
    </row>
    <row r="9" spans="1:8" x14ac:dyDescent="0.4">
      <c r="A9" s="17" t="s">
        <v>80</v>
      </c>
      <c r="B9" s="21">
        <f>SUM(B3:B8)</f>
        <v>6</v>
      </c>
      <c r="C9" s="17"/>
      <c r="D9" s="24">
        <f>SUM(D3:D8)</f>
        <v>1.0000000000200189</v>
      </c>
      <c r="E9" s="17"/>
      <c r="F9" s="17"/>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Z35"/>
  <sheetViews>
    <sheetView showGridLines="0" tabSelected="1" topLeftCell="O7" zoomScale="80" zoomScaleNormal="80" workbookViewId="0">
      <selection activeCell="Z27" sqref="Z27"/>
    </sheetView>
  </sheetViews>
  <sheetFormatPr defaultRowHeight="18.75" x14ac:dyDescent="0.4"/>
  <cols>
    <col min="3" max="3" width="20.25" bestFit="1" customWidth="1"/>
    <col min="4" max="4" width="14.375" bestFit="1" customWidth="1"/>
    <col min="6" max="6" width="14.75" bestFit="1" customWidth="1"/>
    <col min="9" max="9" width="12.375" bestFit="1" customWidth="1"/>
    <col min="10" max="10" width="5" bestFit="1" customWidth="1"/>
    <col min="11" max="11" width="12.375" customWidth="1"/>
    <col min="12" max="13" width="12.625" bestFit="1" customWidth="1"/>
    <col min="14" max="15" width="20.25" bestFit="1" customWidth="1"/>
    <col min="16" max="16" width="12.625" bestFit="1" customWidth="1"/>
    <col min="17" max="17" width="28.125" bestFit="1" customWidth="1"/>
    <col min="18" max="18" width="8.625" bestFit="1" customWidth="1"/>
    <col min="19" max="19" width="14.375" bestFit="1" customWidth="1"/>
    <col min="20" max="20" width="12.625" bestFit="1" customWidth="1"/>
    <col min="21" max="22" width="16.25" bestFit="1" customWidth="1"/>
    <col min="23" max="23" width="19.625" bestFit="1" customWidth="1"/>
    <col min="24" max="24" width="21.875" bestFit="1" customWidth="1"/>
    <col min="25" max="25" width="26.125" bestFit="1" customWidth="1"/>
    <col min="26" max="26" width="9.375" bestFit="1" customWidth="1"/>
  </cols>
  <sheetData>
    <row r="1" spans="1:1" x14ac:dyDescent="0.4">
      <c r="A1" t="s">
        <v>41</v>
      </c>
    </row>
    <row r="2" spans="1:1" x14ac:dyDescent="0.4">
      <c r="A2" t="s">
        <v>40</v>
      </c>
    </row>
    <row r="3" spans="1:1" x14ac:dyDescent="0.4">
      <c r="A3" t="s">
        <v>84</v>
      </c>
    </row>
    <row r="4" spans="1:1" x14ac:dyDescent="0.4">
      <c r="A4" t="s">
        <v>64</v>
      </c>
    </row>
    <row r="6" spans="1:1" x14ac:dyDescent="0.4">
      <c r="A6" t="s">
        <v>43</v>
      </c>
    </row>
    <row r="7" spans="1:1" x14ac:dyDescent="0.4">
      <c r="A7" t="s">
        <v>68</v>
      </c>
    </row>
    <row r="8" spans="1:1" x14ac:dyDescent="0.4">
      <c r="A8" t="s">
        <v>60</v>
      </c>
    </row>
    <row r="9" spans="1:1" x14ac:dyDescent="0.4">
      <c r="A9" t="s">
        <v>61</v>
      </c>
    </row>
    <row r="10" spans="1:1" x14ac:dyDescent="0.4">
      <c r="A10" t="s">
        <v>62</v>
      </c>
    </row>
    <row r="11" spans="1:1" x14ac:dyDescent="0.4">
      <c r="A11" t="s">
        <v>37</v>
      </c>
    </row>
    <row r="12" spans="1:1" x14ac:dyDescent="0.4">
      <c r="A12" t="s">
        <v>38</v>
      </c>
    </row>
    <row r="13" spans="1:1" x14ac:dyDescent="0.4">
      <c r="A13" t="s">
        <v>71</v>
      </c>
    </row>
    <row r="14" spans="1:1" x14ac:dyDescent="0.4">
      <c r="A14" t="s">
        <v>67</v>
      </c>
    </row>
    <row r="15" spans="1:1" x14ac:dyDescent="0.4">
      <c r="A15" t="s">
        <v>45</v>
      </c>
    </row>
    <row r="16" spans="1:1" x14ac:dyDescent="0.4">
      <c r="A16" t="s">
        <v>83</v>
      </c>
    </row>
    <row r="18" spans="1:26" x14ac:dyDescent="0.4">
      <c r="A18" t="s">
        <v>42</v>
      </c>
    </row>
    <row r="19" spans="1:26" x14ac:dyDescent="0.4">
      <c r="A19" t="s">
        <v>36</v>
      </c>
    </row>
    <row r="21" spans="1:26" x14ac:dyDescent="0.4">
      <c r="A21" s="25" t="s">
        <v>14</v>
      </c>
      <c r="B21" s="25"/>
      <c r="C21" s="25"/>
      <c r="D21" s="2" t="s">
        <v>13</v>
      </c>
      <c r="E21" s="2" t="s">
        <v>12</v>
      </c>
      <c r="F21" s="2" t="s">
        <v>15</v>
      </c>
      <c r="H21" s="1"/>
      <c r="I21" s="5" t="s">
        <v>29</v>
      </c>
      <c r="J21" s="3" t="s">
        <v>3</v>
      </c>
      <c r="K21" s="13" t="s">
        <v>81</v>
      </c>
      <c r="L21" s="3" t="s">
        <v>22</v>
      </c>
      <c r="M21" s="3" t="s">
        <v>0</v>
      </c>
      <c r="N21" s="3" t="s">
        <v>21</v>
      </c>
      <c r="O21" s="3" t="s">
        <v>5</v>
      </c>
      <c r="P21" s="3" t="s">
        <v>4</v>
      </c>
      <c r="Q21" s="3" t="s">
        <v>27</v>
      </c>
      <c r="R21" s="8" t="s">
        <v>70</v>
      </c>
      <c r="S21" s="3" t="s">
        <v>11</v>
      </c>
      <c r="T21" s="3" t="s">
        <v>28</v>
      </c>
      <c r="U21" s="3" t="s">
        <v>32</v>
      </c>
      <c r="V21" s="3" t="s">
        <v>33</v>
      </c>
      <c r="W21" s="3" t="s">
        <v>30</v>
      </c>
      <c r="X21" s="16" t="s">
        <v>85</v>
      </c>
      <c r="Y21" s="30" t="s">
        <v>86</v>
      </c>
      <c r="Z21" s="16" t="s">
        <v>87</v>
      </c>
    </row>
    <row r="22" spans="1:26" x14ac:dyDescent="0.4">
      <c r="A22" s="26" t="s">
        <v>48</v>
      </c>
      <c r="B22" s="26" t="s">
        <v>49</v>
      </c>
      <c r="C22" s="1" t="s">
        <v>53</v>
      </c>
      <c r="D22" s="1">
        <v>1005</v>
      </c>
      <c r="E22" s="6" t="s">
        <v>52</v>
      </c>
      <c r="F22" s="6"/>
      <c r="H22" s="1"/>
      <c r="I22" s="3" t="s">
        <v>23</v>
      </c>
      <c r="J22" s="3" t="s">
        <v>26</v>
      </c>
      <c r="K22" s="13" t="s">
        <v>82</v>
      </c>
      <c r="L22" s="3" t="s">
        <v>25</v>
      </c>
      <c r="M22" s="3" t="s">
        <v>25</v>
      </c>
      <c r="N22" s="3" t="s">
        <v>24</v>
      </c>
      <c r="O22" s="3" t="s">
        <v>24</v>
      </c>
      <c r="P22" s="3" t="s">
        <v>24</v>
      </c>
      <c r="Q22" s="3" t="s">
        <v>25</v>
      </c>
      <c r="R22" s="8" t="s">
        <v>69</v>
      </c>
      <c r="S22" s="5" t="s">
        <v>23</v>
      </c>
      <c r="T22" s="3" t="s">
        <v>23</v>
      </c>
      <c r="U22" s="3" t="s">
        <v>31</v>
      </c>
      <c r="V22" s="3" t="s">
        <v>31</v>
      </c>
      <c r="W22" s="3" t="s">
        <v>31</v>
      </c>
      <c r="X22" s="1"/>
      <c r="Y22" s="30" t="s">
        <v>9</v>
      </c>
      <c r="Z22" s="16" t="s">
        <v>9</v>
      </c>
    </row>
    <row r="23" spans="1:26" x14ac:dyDescent="0.4">
      <c r="A23" s="28"/>
      <c r="B23" s="28"/>
      <c r="C23" s="1" t="s">
        <v>54</v>
      </c>
      <c r="D23" s="1">
        <v>1.2</v>
      </c>
      <c r="E23" s="6" t="s">
        <v>50</v>
      </c>
      <c r="F23" s="6"/>
      <c r="H23" s="3" t="s">
        <v>39</v>
      </c>
      <c r="I23" s="1">
        <f t="shared" ref="I23:I28" si="0">$D$25</f>
        <v>0</v>
      </c>
      <c r="J23" s="1">
        <v>1</v>
      </c>
      <c r="K23" s="1">
        <v>0.9</v>
      </c>
      <c r="L23" s="1">
        <f>熱伝達率!$F3</f>
        <v>6.0497346947957293</v>
      </c>
      <c r="M23" s="1">
        <f ca="1">1/$N23-$L23</f>
        <v>3.0411743961133499</v>
      </c>
      <c r="N23" s="1">
        <f t="shared" ref="N23:N28" ca="1" si="1">1/SUM($M23,$L23)</f>
        <v>0.11000000000000014</v>
      </c>
      <c r="O23" s="1">
        <v>0.04</v>
      </c>
      <c r="P23" s="1">
        <f ca="1">1/4.65-SUM($N23,$O23)</f>
        <v>6.5053763440860057E-2</v>
      </c>
      <c r="Q23" s="1">
        <f t="shared" ref="Q23:Q28" ca="1" si="2">1/(1/$M23+$P23+$O23)</f>
        <v>2.3048160543761158</v>
      </c>
      <c r="R23" s="1"/>
      <c r="S23" s="15">
        <f t="shared" ref="S23:S28" ca="1" si="3">$I23+($T23-$I23)*SUM($O23,$P23)/SUM($O23,$P23,$N23)</f>
        <v>1.3426839126919941</v>
      </c>
      <c r="T23" s="1">
        <f t="shared" ref="T23:T28" ca="1" si="4">($D$34*$M23+$D$35*$L23)/SUM($M23,$L23)+$R23/SUM($M23,$L23)</f>
        <v>2.7485852869846408</v>
      </c>
      <c r="U23" s="1">
        <f t="shared" ref="U23:U28" ca="1" si="5">($D$34-$S23)*$M23</f>
        <v>9.8211813998554653</v>
      </c>
      <c r="V23" s="1">
        <f ca="1">($D$35-$S23)*$L23</f>
        <v>2.9597401846231279</v>
      </c>
      <c r="W23" s="12">
        <f t="shared" ref="W23:W27" ca="1" si="6">SUM($U23,$V23)</f>
        <v>12.780921584478593</v>
      </c>
      <c r="X23" s="1">
        <f>(1-$X$27)*J23/SUM($J$23:$J$26,$J$28)</f>
        <v>0.11000000000000001</v>
      </c>
      <c r="Y23" s="31">
        <f ca="1">SUMPRODUCT(S23:S28,X23:X28)</f>
        <v>2.6424871103925263</v>
      </c>
      <c r="Z23" s="1">
        <f ca="1">(M23*$D$34+L23*$D$35+R23)*N23</f>
        <v>2.7485852869846408</v>
      </c>
    </row>
    <row r="24" spans="1:26" x14ac:dyDescent="0.4">
      <c r="A24" s="27"/>
      <c r="B24" s="27"/>
      <c r="C24" s="1" t="s">
        <v>55</v>
      </c>
      <c r="D24" s="1">
        <f>$D$22*$D$23</f>
        <v>1206</v>
      </c>
      <c r="E24" s="6" t="s">
        <v>51</v>
      </c>
      <c r="F24" s="6"/>
      <c r="H24" s="4" t="s">
        <v>39</v>
      </c>
      <c r="I24" s="1">
        <f t="shared" si="0"/>
        <v>0</v>
      </c>
      <c r="J24" s="1">
        <v>1</v>
      </c>
      <c r="K24" s="1">
        <v>0.9</v>
      </c>
      <c r="L24" s="1">
        <f>熱伝達率!$F4</f>
        <v>6.0497346947957293</v>
      </c>
      <c r="M24" s="1">
        <f t="shared" ref="M24:M28" ca="1" si="7">1/$N24-$L24</f>
        <v>3.0411743961133499</v>
      </c>
      <c r="N24" s="1">
        <f t="shared" ca="1" si="1"/>
        <v>0.11000000000000014</v>
      </c>
      <c r="O24" s="1">
        <v>0.04</v>
      </c>
      <c r="P24" s="1">
        <f ca="1">1/4.65-SUM($N24,$O24)</f>
        <v>6.5053763440860057E-2</v>
      </c>
      <c r="Q24" s="1">
        <f t="shared" ca="1" si="2"/>
        <v>2.3048160543761158</v>
      </c>
      <c r="R24" s="1"/>
      <c r="S24" s="15">
        <f t="shared" ca="1" si="3"/>
        <v>1.3426839126919941</v>
      </c>
      <c r="T24" s="1">
        <f t="shared" ca="1" si="4"/>
        <v>2.7485852869846408</v>
      </c>
      <c r="U24" s="1">
        <f t="shared" ca="1" si="5"/>
        <v>9.8211813998554653</v>
      </c>
      <c r="V24" s="1">
        <f ca="1">($D$35-$S24)*$L24</f>
        <v>2.9597401846231279</v>
      </c>
      <c r="W24" s="12">
        <f t="shared" ca="1" si="6"/>
        <v>12.780921584478593</v>
      </c>
      <c r="X24" s="1">
        <f t="shared" ref="X24:X28" si="8">(1-$X$27)*J24/SUM($J$23:$J$26,$J$28)</f>
        <v>0.11000000000000001</v>
      </c>
      <c r="Z24" s="1">
        <f t="shared" ref="Z24:Z28" ca="1" si="9">(M24*$D$34+L24*$D$35+R24)*N24</f>
        <v>2.7485852869846408</v>
      </c>
    </row>
    <row r="25" spans="1:26" x14ac:dyDescent="0.4">
      <c r="A25" s="26" t="s">
        <v>16</v>
      </c>
      <c r="B25" s="2" t="s">
        <v>18</v>
      </c>
      <c r="C25" s="1" t="s">
        <v>10</v>
      </c>
      <c r="D25" s="1">
        <v>0</v>
      </c>
      <c r="E25" s="2" t="s">
        <v>9</v>
      </c>
      <c r="F25" s="1"/>
      <c r="H25" s="4" t="s">
        <v>39</v>
      </c>
      <c r="I25" s="1">
        <f t="shared" si="0"/>
        <v>0</v>
      </c>
      <c r="J25" s="1">
        <v>1</v>
      </c>
      <c r="K25" s="1">
        <v>0.9</v>
      </c>
      <c r="L25" s="1">
        <f>熱伝達率!$F5</f>
        <v>6.0497346947957293</v>
      </c>
      <c r="M25" s="1">
        <f t="shared" ca="1" si="7"/>
        <v>3.0411743961133499</v>
      </c>
      <c r="N25" s="1">
        <f t="shared" ca="1" si="1"/>
        <v>0.11000000000000014</v>
      </c>
      <c r="O25" s="1">
        <v>0.04</v>
      </c>
      <c r="P25" s="1">
        <f ca="1">1/4.65-SUM($N25,$O25)</f>
        <v>6.5053763440860057E-2</v>
      </c>
      <c r="Q25" s="1">
        <f t="shared" ca="1" si="2"/>
        <v>2.3048160543761158</v>
      </c>
      <c r="R25" s="1"/>
      <c r="S25" s="15">
        <f t="shared" ca="1" si="3"/>
        <v>1.3426839126919941</v>
      </c>
      <c r="T25" s="1">
        <f t="shared" ca="1" si="4"/>
        <v>2.7485852869846408</v>
      </c>
      <c r="U25" s="1">
        <f t="shared" ca="1" si="5"/>
        <v>9.8211813998554653</v>
      </c>
      <c r="V25" s="1">
        <f ca="1">($D$35-$S25)*$L25</f>
        <v>2.9597401846231279</v>
      </c>
      <c r="W25" s="12">
        <f t="shared" ca="1" si="6"/>
        <v>12.780921584478593</v>
      </c>
      <c r="X25" s="1">
        <f t="shared" si="8"/>
        <v>0.11000000000000001</v>
      </c>
      <c r="Z25" s="1">
        <f t="shared" ca="1" si="9"/>
        <v>2.7485852869846408</v>
      </c>
    </row>
    <row r="26" spans="1:26" x14ac:dyDescent="0.4">
      <c r="A26" s="28"/>
      <c r="B26" s="26" t="s">
        <v>19</v>
      </c>
      <c r="C26" s="1" t="s">
        <v>46</v>
      </c>
      <c r="D26" s="1">
        <v>0</v>
      </c>
      <c r="E26" s="6" t="s">
        <v>47</v>
      </c>
      <c r="F26" s="1" t="s">
        <v>63</v>
      </c>
      <c r="H26" s="4" t="s">
        <v>39</v>
      </c>
      <c r="I26" s="1">
        <f t="shared" si="0"/>
        <v>0</v>
      </c>
      <c r="J26" s="1">
        <v>1</v>
      </c>
      <c r="K26" s="1">
        <v>0.9</v>
      </c>
      <c r="L26" s="1">
        <f>熱伝達率!$F6</f>
        <v>6.0497346947957293</v>
      </c>
      <c r="M26" s="1">
        <f t="shared" ca="1" si="7"/>
        <v>3.0411743961133499</v>
      </c>
      <c r="N26" s="1">
        <f t="shared" ca="1" si="1"/>
        <v>0.11000000000000014</v>
      </c>
      <c r="O26" s="1">
        <v>0.04</v>
      </c>
      <c r="P26" s="1">
        <f ca="1">1/4.65-SUM($N26,$O26)</f>
        <v>6.5053763440860057E-2</v>
      </c>
      <c r="Q26" s="1">
        <f t="shared" ca="1" si="2"/>
        <v>2.3048160543761158</v>
      </c>
      <c r="R26" s="1"/>
      <c r="S26" s="15">
        <f t="shared" ca="1" si="3"/>
        <v>1.3426839126919941</v>
      </c>
      <c r="T26" s="1">
        <f t="shared" ca="1" si="4"/>
        <v>2.7485852869846408</v>
      </c>
      <c r="U26" s="1">
        <f t="shared" ca="1" si="5"/>
        <v>9.8211813998554653</v>
      </c>
      <c r="V26" s="1">
        <f ca="1">($D$35-$S26)*$L26</f>
        <v>2.9597401846231279</v>
      </c>
      <c r="W26" s="12">
        <f t="shared" ca="1" si="6"/>
        <v>12.780921584478593</v>
      </c>
      <c r="X26" s="1">
        <f t="shared" si="8"/>
        <v>0.11000000000000001</v>
      </c>
      <c r="Z26" s="1">
        <f t="shared" ca="1" si="9"/>
        <v>2.7485852869846408</v>
      </c>
    </row>
    <row r="27" spans="1:26" x14ac:dyDescent="0.4">
      <c r="A27" s="28"/>
      <c r="B27" s="28"/>
      <c r="C27" s="1" t="s">
        <v>6</v>
      </c>
      <c r="D27" s="1">
        <f ca="1">SUMPRODUCT($Q$23:$Q$28,$J$23:$J$28)+$D$24*$D$26</f>
        <v>13.725592157349325</v>
      </c>
      <c r="E27" s="2" t="s">
        <v>7</v>
      </c>
      <c r="F27" s="1"/>
      <c r="H27" s="7" t="s">
        <v>35</v>
      </c>
      <c r="I27" s="1">
        <f t="shared" si="0"/>
        <v>0</v>
      </c>
      <c r="J27" s="1">
        <v>1</v>
      </c>
      <c r="K27" s="1">
        <v>0.9</v>
      </c>
      <c r="L27" s="1">
        <f>熱伝達率!$F7</f>
        <v>6.0497346947957293</v>
      </c>
      <c r="M27" s="1">
        <f t="shared" ca="1" si="7"/>
        <v>3.0411743961133499</v>
      </c>
      <c r="N27" s="1">
        <f t="shared" ca="1" si="1"/>
        <v>0.11000000000000014</v>
      </c>
      <c r="O27" s="1">
        <v>0.04</v>
      </c>
      <c r="P27" s="1">
        <f>0.012/0.16</f>
        <v>7.4999999999999997E-2</v>
      </c>
      <c r="Q27" s="1">
        <f t="shared" ca="1" si="2"/>
        <v>2.2531639699224311</v>
      </c>
      <c r="R27" s="1">
        <f>($D$29*$D$30)/$J27</f>
        <v>50</v>
      </c>
      <c r="S27" s="15">
        <f t="shared" ca="1" si="3"/>
        <v>4.215943591125483</v>
      </c>
      <c r="T27" s="1">
        <f t="shared" ca="1" si="4"/>
        <v>8.2485852869846479</v>
      </c>
      <c r="U27" s="1">
        <f t="shared" ca="1" si="5"/>
        <v>1.0830976324186607</v>
      </c>
      <c r="V27" s="1">
        <f ca="1">($D$35-$S27)*$L27+($D$29*$D$30)/$J$27</f>
        <v>35.577281420846433</v>
      </c>
      <c r="W27" s="12">
        <f t="shared" ca="1" si="6"/>
        <v>36.660379053265096</v>
      </c>
      <c r="X27" s="1">
        <v>0.45</v>
      </c>
      <c r="Z27" s="1">
        <f t="shared" ca="1" si="9"/>
        <v>8.2485852869846479</v>
      </c>
    </row>
    <row r="28" spans="1:26" x14ac:dyDescent="0.4">
      <c r="A28" s="28"/>
      <c r="B28" s="28"/>
      <c r="C28" s="1" t="s">
        <v>1</v>
      </c>
      <c r="D28" s="1">
        <v>0</v>
      </c>
      <c r="E28" s="2" t="s">
        <v>2</v>
      </c>
      <c r="F28" s="1"/>
      <c r="H28" s="7" t="s">
        <v>34</v>
      </c>
      <c r="I28" s="1">
        <f t="shared" si="0"/>
        <v>0</v>
      </c>
      <c r="J28" s="1">
        <v>1</v>
      </c>
      <c r="K28" s="1">
        <v>0.9</v>
      </c>
      <c r="L28" s="1">
        <f>熱伝達率!$F8</f>
        <v>6.0497346947957293</v>
      </c>
      <c r="M28" s="1">
        <f t="shared" ca="1" si="7"/>
        <v>3.0411743961133499</v>
      </c>
      <c r="N28" s="1">
        <f t="shared" ca="1" si="1"/>
        <v>0.11000000000000014</v>
      </c>
      <c r="O28" s="1">
        <v>0.04</v>
      </c>
      <c r="P28" s="1">
        <f>0.012/0.16</f>
        <v>7.4999999999999997E-2</v>
      </c>
      <c r="Q28" s="1">
        <f t="shared" ca="1" si="2"/>
        <v>2.2531639699224311</v>
      </c>
      <c r="R28" s="1"/>
      <c r="S28" s="15">
        <f t="shared" ca="1" si="3"/>
        <v>1.4048324800143699</v>
      </c>
      <c r="T28" s="1">
        <f t="shared" ca="1" si="4"/>
        <v>2.7485852869846408</v>
      </c>
      <c r="U28" s="1">
        <f t="shared" ca="1" si="5"/>
        <v>9.6321767681595283</v>
      </c>
      <c r="V28" s="1">
        <f ca="1">($D$35-$S28)*$L28</f>
        <v>2.5837578406611028</v>
      </c>
      <c r="W28" s="12">
        <f ca="1">SUM($U28,$V28)</f>
        <v>12.215934608820632</v>
      </c>
      <c r="X28" s="1">
        <f t="shared" si="8"/>
        <v>0.11000000000000001</v>
      </c>
      <c r="Z28" s="1">
        <f t="shared" ca="1" si="9"/>
        <v>2.7485852869846408</v>
      </c>
    </row>
    <row r="29" spans="1:26" x14ac:dyDescent="0.4">
      <c r="A29" s="28"/>
      <c r="B29" s="28"/>
      <c r="C29" s="1" t="s">
        <v>65</v>
      </c>
      <c r="D29" s="1">
        <v>100</v>
      </c>
      <c r="E29" s="7" t="s">
        <v>2</v>
      </c>
      <c r="F29" s="1"/>
      <c r="H29" s="9"/>
      <c r="I29" s="10"/>
      <c r="J29" s="10"/>
      <c r="K29" s="10"/>
      <c r="L29" s="10"/>
      <c r="M29" s="10"/>
      <c r="N29" s="10"/>
      <c r="O29" s="10"/>
      <c r="P29" s="10"/>
      <c r="Q29" s="10"/>
      <c r="R29" s="10"/>
      <c r="S29" s="11"/>
      <c r="T29" s="10"/>
      <c r="U29" s="10"/>
      <c r="V29" s="10"/>
      <c r="W29" s="10"/>
    </row>
    <row r="30" spans="1:26" x14ac:dyDescent="0.4">
      <c r="A30" s="27"/>
      <c r="B30" s="27"/>
      <c r="C30" s="1" t="s">
        <v>66</v>
      </c>
      <c r="D30" s="1">
        <v>0.5</v>
      </c>
      <c r="E30" s="7" t="s">
        <v>2</v>
      </c>
      <c r="F30" s="1"/>
    </row>
    <row r="31" spans="1:26" x14ac:dyDescent="0.4">
      <c r="A31" s="26" t="s">
        <v>17</v>
      </c>
      <c r="B31" s="29" t="s">
        <v>58</v>
      </c>
      <c r="C31" s="1" t="s">
        <v>56</v>
      </c>
      <c r="D31" s="1">
        <f ca="1">SUM($U$23:$U$28)</f>
        <v>50.000000000000057</v>
      </c>
      <c r="E31" s="6" t="s">
        <v>2</v>
      </c>
      <c r="F31" s="1"/>
    </row>
    <row r="32" spans="1:26" x14ac:dyDescent="0.4">
      <c r="A32" s="28"/>
      <c r="B32" s="28"/>
      <c r="C32" s="1" t="s">
        <v>57</v>
      </c>
      <c r="D32" s="1">
        <f ca="1">$D$24*$D$26*($D$34-$D$25)</f>
        <v>0</v>
      </c>
      <c r="E32" s="6" t="s">
        <v>2</v>
      </c>
      <c r="F32" s="1"/>
    </row>
    <row r="33" spans="1:6" x14ac:dyDescent="0.4">
      <c r="A33" s="28"/>
      <c r="B33" s="27"/>
      <c r="C33" s="1" t="s">
        <v>59</v>
      </c>
      <c r="D33" s="1">
        <f ca="1">SUM($D$31:$D$32)</f>
        <v>50.000000000000057</v>
      </c>
      <c r="E33" s="3" t="s">
        <v>2</v>
      </c>
      <c r="F33" s="1"/>
    </row>
    <row r="34" spans="1:6" x14ac:dyDescent="0.4">
      <c r="A34" s="28"/>
      <c r="B34" s="26" t="s">
        <v>20</v>
      </c>
      <c r="C34" s="1" t="s">
        <v>8</v>
      </c>
      <c r="D34" s="14">
        <f ca="1">$D$34+($D$28+$D$29*(1-$D$30)-$D$33)/$D$27</f>
        <v>4.5720881232519064</v>
      </c>
      <c r="E34" s="2" t="s">
        <v>9</v>
      </c>
      <c r="F34" s="1"/>
    </row>
    <row r="35" spans="1:6" x14ac:dyDescent="0.4">
      <c r="A35" s="27"/>
      <c r="B35" s="27"/>
      <c r="C35" s="1" t="s">
        <v>44</v>
      </c>
      <c r="D35" s="1">
        <f ca="1">SUMPRODUCT($L$23:$L$28,$J$23:$J$28,$S$23:$S$28)/SUMPRODUCT($L$23:$L$28,$J$23:$J$28)</f>
        <v>1.8319186203179711</v>
      </c>
      <c r="E35" s="2" t="s">
        <v>9</v>
      </c>
      <c r="F35" s="1"/>
    </row>
  </sheetData>
  <mergeCells count="8">
    <mergeCell ref="A21:C21"/>
    <mergeCell ref="B34:B35"/>
    <mergeCell ref="A25:A30"/>
    <mergeCell ref="B26:B30"/>
    <mergeCell ref="B22:B24"/>
    <mergeCell ref="A22:A24"/>
    <mergeCell ref="A31:A35"/>
    <mergeCell ref="B31:B3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佐藤誠</cp:lastModifiedBy>
  <dcterms:created xsi:type="dcterms:W3CDTF">2020-08-24T06:41:34Z</dcterms:created>
  <dcterms:modified xsi:type="dcterms:W3CDTF">2021-07-01T05:04:19Z</dcterms:modified>
</cp:coreProperties>
</file>