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tohercom-my.sharepoint.com/personal/satoh_satoh-er_com/Documents/users/sourcetree/heat_load_calc/test/test_singlezone/steady_06/"/>
    </mc:Choice>
  </mc:AlternateContent>
  <xr:revisionPtr revIDLastSave="118" documentId="13_ncr:1_{6C48575F-32CC-49B3-823E-1C3D46D021BD}" xr6:coauthVersionLast="47" xr6:coauthVersionMax="47" xr10:uidLastSave="{BD10E73E-A9F9-4520-A421-FC3899DA7544}"/>
  <bookViews>
    <workbookView xWindow="5280" yWindow="3270" windowWidth="21600" windowHeight="11295" activeTab="1" xr2:uid="{45A1B7A6-7409-41F9-BB10-4729754C71E5}"/>
  </bookViews>
  <sheets>
    <sheet name="熱伝達率" sheetId="2" r:id="rId1"/>
    <sheet name="正解値" sheetId="1" r:id="rId2"/>
  </sheets>
  <calcPr calcId="191029" iterate="1" iterateCount="9999" iterateDelta="1E-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6" i="1" l="1"/>
  <c r="V25" i="1"/>
  <c r="V24" i="1"/>
  <c r="V23" i="1"/>
  <c r="L24" i="1"/>
  <c r="M24" i="1" s="1"/>
  <c r="L25" i="1"/>
  <c r="M25" i="1" s="1"/>
  <c r="L26" i="1"/>
  <c r="M26" i="1" s="1"/>
  <c r="L23" i="1"/>
  <c r="M23" i="1" s="1"/>
  <c r="J25" i="1"/>
  <c r="J24" i="1"/>
  <c r="J26" i="1"/>
  <c r="J23" i="1"/>
  <c r="J28" i="1"/>
  <c r="J27" i="1"/>
  <c r="I27" i="1"/>
  <c r="L27" i="1" s="1"/>
  <c r="M27" i="1" s="1"/>
  <c r="I28" i="1"/>
  <c r="L28" i="1" s="1"/>
  <c r="M28" i="1" s="1"/>
  <c r="I26" i="1"/>
  <c r="I25" i="1"/>
  <c r="I24" i="1"/>
  <c r="I23" i="1"/>
  <c r="D29" i="1"/>
  <c r="D30" i="1"/>
  <c r="AD28" i="1"/>
  <c r="AD24" i="1"/>
  <c r="AD25" i="1"/>
  <c r="AD26" i="1"/>
  <c r="B4" i="2"/>
  <c r="B5" i="2"/>
  <c r="B6" i="2"/>
  <c r="B7" i="2"/>
  <c r="B8" i="2"/>
  <c r="B3" i="2"/>
  <c r="K24" i="1" l="1"/>
  <c r="D31" i="1"/>
  <c r="D33" i="1" s="1"/>
  <c r="K28" i="1"/>
  <c r="N28" i="1" s="1"/>
  <c r="O28" i="1" s="1"/>
  <c r="K26" i="1"/>
  <c r="N26" i="1" s="1"/>
  <c r="O26" i="1" s="1"/>
  <c r="K23" i="1"/>
  <c r="N23" i="1" s="1"/>
  <c r="O23" i="1" s="1"/>
  <c r="K25" i="1"/>
  <c r="N25" i="1" s="1"/>
  <c r="O25" i="1" s="1"/>
  <c r="K27" i="1"/>
  <c r="N27" i="1" s="1"/>
  <c r="O27" i="1" s="1"/>
  <c r="B9" i="2"/>
  <c r="C6" i="2" s="1"/>
  <c r="D6" i="2" s="1"/>
  <c r="F6" i="2" s="1"/>
  <c r="R26" i="1" s="1"/>
  <c r="X27" i="1"/>
  <c r="N24" i="1" l="1"/>
  <c r="O24" i="1" s="1"/>
  <c r="C3" i="2"/>
  <c r="D3" i="2" s="1"/>
  <c r="F3" i="2" s="1"/>
  <c r="R23" i="1" s="1"/>
  <c r="C7" i="2"/>
  <c r="D7" i="2" s="1"/>
  <c r="F7" i="2" s="1"/>
  <c r="R27" i="1" s="1"/>
  <c r="C8" i="2"/>
  <c r="D8" i="2" s="1"/>
  <c r="F8" i="2" s="1"/>
  <c r="R28" i="1" s="1"/>
  <c r="C4" i="2"/>
  <c r="D4" i="2" s="1"/>
  <c r="F4" i="2" s="1"/>
  <c r="R24" i="1" s="1"/>
  <c r="C5" i="2"/>
  <c r="D5" i="2" s="1"/>
  <c r="F5" i="2" s="1"/>
  <c r="R25" i="1" s="1"/>
  <c r="D9" i="2" l="1"/>
  <c r="D24" i="1"/>
  <c r="V28" i="1" l="1"/>
  <c r="V27" i="1"/>
  <c r="AD23" i="1" l="1"/>
  <c r="S23" i="1"/>
  <c r="T23" i="1"/>
  <c r="W23" i="1"/>
  <c r="Y23" i="1"/>
  <c r="Z23" i="1"/>
  <c r="AA23" i="1"/>
  <c r="AB23" i="1"/>
  <c r="AC23" i="1"/>
  <c r="AE23" i="1"/>
  <c r="AF23" i="1"/>
  <c r="S24" i="1"/>
  <c r="T24" i="1"/>
  <c r="W24" i="1"/>
  <c r="Y24" i="1"/>
  <c r="Z24" i="1"/>
  <c r="AA24" i="1"/>
  <c r="AB24" i="1"/>
  <c r="AC24" i="1"/>
  <c r="AF24" i="1"/>
  <c r="S25" i="1"/>
  <c r="T25" i="1"/>
  <c r="W25" i="1"/>
  <c r="Y25" i="1"/>
  <c r="Z25" i="1"/>
  <c r="AA25" i="1"/>
  <c r="AB25" i="1"/>
  <c r="AC25" i="1"/>
  <c r="AF25" i="1"/>
  <c r="S26" i="1"/>
  <c r="T26" i="1"/>
  <c r="W26" i="1"/>
  <c r="Y26" i="1"/>
  <c r="Z26" i="1"/>
  <c r="AA26" i="1"/>
  <c r="AB26" i="1"/>
  <c r="AC26" i="1"/>
  <c r="AF26" i="1"/>
  <c r="S27" i="1"/>
  <c r="T27" i="1"/>
  <c r="W27" i="1"/>
  <c r="Y27" i="1"/>
  <c r="Z27" i="1"/>
  <c r="AA27" i="1"/>
  <c r="AB27" i="1"/>
  <c r="AC27" i="1"/>
  <c r="AF27" i="1"/>
  <c r="S28" i="1"/>
  <c r="T28" i="1"/>
  <c r="W28" i="1"/>
  <c r="Y28" i="1"/>
  <c r="Z28" i="1"/>
  <c r="AA28" i="1"/>
  <c r="AB28" i="1"/>
  <c r="AC28" i="1"/>
  <c r="AF28" i="1"/>
  <c r="D35" i="1"/>
  <c r="D39" i="1"/>
  <c r="D40" i="1"/>
  <c r="D41" i="1"/>
  <c r="D42" i="1"/>
  <c r="D43" i="1"/>
  <c r="D46" i="1"/>
  <c r="D47" i="1"/>
</calcChain>
</file>

<file path=xl/sharedStrings.xml><?xml version="1.0" encoding="utf-8"?>
<sst xmlns="http://schemas.openxmlformats.org/spreadsheetml/2006/main" count="152" uniqueCount="115">
  <si>
    <t>対流熱伝達率</t>
    <rPh sb="0" eb="2">
      <t>タイリュウ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</si>
  <si>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内部発熱</t>
    <rPh sb="0" eb="1">
      <t>ウチ</t>
    </rPh>
    <rPh sb="1" eb="2">
      <t>ブ</t>
    </rPh>
    <rPh sb="2" eb="3">
      <t>ハツ</t>
    </rPh>
    <rPh sb="3" eb="4">
      <t>アツ</t>
    </rPh>
    <phoneticPr fontId="1"/>
  </si>
  <si>
    <t>W</t>
    <phoneticPr fontId="1"/>
  </si>
  <si>
    <t>面積</t>
    <rPh sb="0" eb="2">
      <t>メンセキ</t>
    </rPh>
    <phoneticPr fontId="1"/>
  </si>
  <si>
    <t>熱抵抗</t>
    <rPh sb="0" eb="1">
      <t>アツ</t>
    </rPh>
    <rPh sb="1" eb="3">
      <t>テイコウ</t>
    </rPh>
    <phoneticPr fontId="1"/>
  </si>
  <si>
    <t>屋外側表面熱伝達抵抗</t>
    <rPh sb="0" eb="3">
      <t>オクガイガワ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</si>
  <si>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熱損失係数</t>
    <rPh sb="0" eb="1">
      <t>アツ</t>
    </rPh>
    <rPh sb="1" eb="3">
      <t>ソンシツ</t>
    </rPh>
    <rPh sb="3" eb="5">
      <t>ケイスウ</t>
    </rPh>
    <phoneticPr fontId="1"/>
  </si>
  <si>
    <t>W/K</t>
    <phoneticPr fontId="1"/>
  </si>
  <si>
    <t>室温</t>
    <rPh sb="0" eb="2">
      <t>シツオン</t>
    </rPh>
    <phoneticPr fontId="1"/>
  </si>
  <si>
    <t>℃</t>
    <phoneticPr fontId="1"/>
  </si>
  <si>
    <t>外気温度</t>
    <rPh sb="0" eb="4">
      <t>ガイキオンド</t>
    </rPh>
    <phoneticPr fontId="1"/>
  </si>
  <si>
    <t>表面温度</t>
    <rPh sb="0" eb="3">
      <t>ヒョウメンオン</t>
    </rPh>
    <rPh sb="3" eb="4">
      <t>ド</t>
    </rPh>
    <phoneticPr fontId="1"/>
  </si>
  <si>
    <t>単位</t>
    <rPh sb="0" eb="1">
      <t>ヒトエ</t>
    </rPh>
    <rPh sb="1" eb="2">
      <t>クライ</t>
    </rPh>
    <phoneticPr fontId="1"/>
  </si>
  <si>
    <t>値</t>
    <rPh sb="0" eb="1">
      <t>アタイ</t>
    </rPh>
    <phoneticPr fontId="1"/>
  </si>
  <si>
    <t>項目</t>
    <rPh sb="0" eb="2">
      <t>コウモク</t>
    </rPh>
    <phoneticPr fontId="1"/>
  </si>
  <si>
    <t>備考</t>
    <rPh sb="0" eb="2">
      <t>ビコウ</t>
    </rPh>
    <phoneticPr fontId="1"/>
  </si>
  <si>
    <t>設定</t>
    <rPh sb="0" eb="2">
      <t>セッテイ</t>
    </rPh>
    <phoneticPr fontId="1"/>
  </si>
  <si>
    <t>計算結果</t>
    <rPh sb="0" eb="4">
      <t>ケイサンケッカ</t>
    </rPh>
    <phoneticPr fontId="1"/>
  </si>
  <si>
    <t>気象</t>
    <rPh sb="0" eb="2">
      <t>キショウ</t>
    </rPh>
    <phoneticPr fontId="1"/>
  </si>
  <si>
    <t>建物</t>
    <rPh sb="0" eb="2">
      <t>タテモノ</t>
    </rPh>
    <phoneticPr fontId="1"/>
  </si>
  <si>
    <t>温度</t>
    <rPh sb="0" eb="1">
      <t>アタタ</t>
    </rPh>
    <rPh sb="1" eb="2">
      <t>ド</t>
    </rPh>
    <phoneticPr fontId="1"/>
  </si>
  <si>
    <t>室内側表面熱伝達抵抗</t>
    <rPh sb="0" eb="2">
      <t>シツナイ</t>
    </rPh>
    <rPh sb="2" eb="3">
      <t>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</si>
  <si>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放射熱伝達率</t>
    <rPh sb="0" eb="2">
      <t>ホウシャ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</si>
  <si>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℃</t>
  </si>
  <si>
    <t>㎡･K/W</t>
  </si>
  <si>
    <t>W/(㎡･K)</t>
  </si>
  <si>
    <t>㎡</t>
  </si>
  <si>
    <t>熱貫流率（表面熱伝達率対流）</t>
    <rPh sb="0" eb="1">
      <t>アツ</t>
    </rPh>
    <rPh sb="1" eb="2">
      <t>ツラヌ</t>
    </rPh>
    <rPh sb="2" eb="3">
      <t>リュウ</t>
    </rPh>
    <rPh sb="3" eb="4">
      <t>リツ</t>
    </rPh>
    <rPh sb="5" eb="7">
      <t>ヒョウメン</t>
    </rPh>
    <rPh sb="7" eb="10">
      <t>ネツデンタツ</t>
    </rPh>
    <rPh sb="10" eb="11">
      <t>リツ</t>
    </rPh>
    <rPh sb="11" eb="13">
      <t>タイリュウ</t>
    </rPh>
    <phoneticPr fontId="1"/>
  </si>
  <si>
    <t>相当外気温度</t>
    <rPh sb="0" eb="2">
      <t>ソウトウ</t>
    </rPh>
    <rPh sb="2" eb="4">
      <t>ガイキ</t>
    </rPh>
    <rPh sb="4" eb="5">
      <t>アタタ</t>
    </rPh>
    <rPh sb="5" eb="6">
      <t>ド</t>
    </rPh>
    <phoneticPr fontId="1"/>
  </si>
  <si>
    <t>表面熱流</t>
    <phoneticPr fontId="1"/>
  </si>
  <si>
    <t>W/㎡</t>
    <phoneticPr fontId="1"/>
  </si>
  <si>
    <t>表面熱流（対流）</t>
    <rPh sb="5" eb="7">
      <t>タイリュウ</t>
    </rPh>
    <phoneticPr fontId="1"/>
  </si>
  <si>
    <t>表面熱流（放射）</t>
    <rPh sb="5" eb="7">
      <t>ホウシャ</t>
    </rPh>
    <phoneticPr fontId="1"/>
  </si>
  <si>
    <t>屋根</t>
    <rPh sb="0" eb="2">
      <t>ヤネ</t>
    </rPh>
    <phoneticPr fontId="1"/>
  </si>
  <si>
    <t>床</t>
    <rPh sb="0" eb="1">
      <t>ユカ</t>
    </rPh>
    <phoneticPr fontId="1"/>
  </si>
  <si>
    <t>室温、表面温度、表面熱流を比較する。</t>
    <rPh sb="0" eb="2">
      <t>シツオン</t>
    </rPh>
    <rPh sb="3" eb="5">
      <t>ヒョウメン</t>
    </rPh>
    <rPh sb="5" eb="6">
      <t>アタタ</t>
    </rPh>
    <rPh sb="6" eb="7">
      <t>ド</t>
    </rPh>
    <rPh sb="8" eb="10">
      <t>ヒョウメン</t>
    </rPh>
    <rPh sb="10" eb="11">
      <t>ネツ</t>
    </rPh>
    <rPh sb="11" eb="12">
      <t>リュウ</t>
    </rPh>
    <rPh sb="13" eb="15">
      <t>ヒカク</t>
    </rPh>
    <phoneticPr fontId="1"/>
  </si>
  <si>
    <t>収束計算の過程において、室空気からの対流熱損失が、内部発熱の設定と差がある場合、（内部発熱ー対流熱損失）/Q値を室温に加算。その際のQ値は室内側表面熱伝達率は対流のみを考慮。</t>
    <rPh sb="0" eb="4">
      <t>シュウソクケイサン</t>
    </rPh>
    <rPh sb="5" eb="7">
      <t>カテイ</t>
    </rPh>
    <rPh sb="25" eb="29">
      <t>ウチブハツアツ</t>
    </rPh>
    <rPh sb="30" eb="32">
      <t>セッテイ</t>
    </rPh>
    <rPh sb="33" eb="34">
      <t>サ</t>
    </rPh>
    <rPh sb="37" eb="39">
      <t>バアイ</t>
    </rPh>
    <rPh sb="41" eb="43">
      <t>ナイブ</t>
    </rPh>
    <rPh sb="43" eb="45">
      <t>ハツネツ</t>
    </rPh>
    <rPh sb="46" eb="48">
      <t>タイリュウ</t>
    </rPh>
    <rPh sb="48" eb="49">
      <t>ネツ</t>
    </rPh>
    <rPh sb="49" eb="51">
      <t>ソンシツ</t>
    </rPh>
    <rPh sb="54" eb="55">
      <t>アタイ</t>
    </rPh>
    <rPh sb="56" eb="58">
      <t>シツオン</t>
    </rPh>
    <rPh sb="59" eb="61">
      <t>カサン</t>
    </rPh>
    <rPh sb="64" eb="65">
      <t>サイ</t>
    </rPh>
    <rPh sb="67" eb="68">
      <t>アタイ</t>
    </rPh>
    <rPh sb="69" eb="72">
      <t>シツウチガワ</t>
    </rPh>
    <rPh sb="72" eb="74">
      <t>ヒョウメン</t>
    </rPh>
    <rPh sb="74" eb="75">
      <t>アツ</t>
    </rPh>
    <rPh sb="75" eb="76">
      <t>ツタ</t>
    </rPh>
    <rPh sb="76" eb="77">
      <t>タツ</t>
    </rPh>
    <rPh sb="77" eb="78">
      <t>リツ</t>
    </rPh>
    <rPh sb="79" eb="81">
      <t>タイリュウ</t>
    </rPh>
    <rPh sb="84" eb="86">
      <t>コウリョ</t>
    </rPh>
    <phoneticPr fontId="1"/>
  </si>
  <si>
    <t>室内側表面温度は、相当外気温度、室内側作用温度、屋外から室内までの熱抵抗、屋外から室内側表面までの熱抵抗より求める。</t>
    <rPh sb="0" eb="1">
      <t>シツ</t>
    </rPh>
    <rPh sb="1" eb="2">
      <t>ウチ</t>
    </rPh>
    <rPh sb="2" eb="3">
      <t>ガワ</t>
    </rPh>
    <rPh sb="3" eb="7">
      <t>ヒョウメンオンド</t>
    </rPh>
    <rPh sb="9" eb="11">
      <t>ソウトウ</t>
    </rPh>
    <rPh sb="11" eb="13">
      <t>ガイキ</t>
    </rPh>
    <rPh sb="13" eb="15">
      <t>オンド</t>
    </rPh>
    <rPh sb="16" eb="18">
      <t>シツナイ</t>
    </rPh>
    <rPh sb="18" eb="19">
      <t>ガワ</t>
    </rPh>
    <rPh sb="19" eb="21">
      <t>サヨウ</t>
    </rPh>
    <rPh sb="21" eb="23">
      <t>オンド</t>
    </rPh>
    <rPh sb="24" eb="26">
      <t>オクガイ</t>
    </rPh>
    <rPh sb="28" eb="30">
      <t>シツナイ</t>
    </rPh>
    <rPh sb="33" eb="34">
      <t>ネツ</t>
    </rPh>
    <rPh sb="34" eb="36">
      <t>テイコウ</t>
    </rPh>
    <rPh sb="37" eb="39">
      <t>オクガイ</t>
    </rPh>
    <rPh sb="41" eb="43">
      <t>シツナイ</t>
    </rPh>
    <rPh sb="43" eb="44">
      <t>ガワ</t>
    </rPh>
    <rPh sb="44" eb="46">
      <t>ヒョウメン</t>
    </rPh>
    <rPh sb="49" eb="50">
      <t>ネツ</t>
    </rPh>
    <rPh sb="50" eb="52">
      <t>テイコウ</t>
    </rPh>
    <rPh sb="54" eb="55">
      <t>モト</t>
    </rPh>
    <phoneticPr fontId="1"/>
  </si>
  <si>
    <t>壁</t>
    <rPh sb="0" eb="1">
      <t>カベ</t>
    </rPh>
    <phoneticPr fontId="1"/>
  </si>
  <si>
    <t>計算条件</t>
    <rPh sb="0" eb="2">
      <t>ケイサン</t>
    </rPh>
    <rPh sb="2" eb="4">
      <t>ジョウケン</t>
    </rPh>
    <phoneticPr fontId="1"/>
  </si>
  <si>
    <t>テスト項目</t>
    <rPh sb="3" eb="5">
      <t>コウモク</t>
    </rPh>
    <phoneticPr fontId="1"/>
  </si>
  <si>
    <t>計算方法</t>
    <rPh sb="0" eb="2">
      <t>ケイサン</t>
    </rPh>
    <rPh sb="2" eb="4">
      <t>ホウホウ</t>
    </rPh>
    <phoneticPr fontId="1"/>
  </si>
  <si>
    <t>微小球温度</t>
    <rPh sb="0" eb="2">
      <t>ビショウ</t>
    </rPh>
    <rPh sb="2" eb="3">
      <t>タマ</t>
    </rPh>
    <rPh sb="3" eb="4">
      <t>オン</t>
    </rPh>
    <rPh sb="4" eb="5">
      <t>ド</t>
    </rPh>
    <phoneticPr fontId="1"/>
  </si>
  <si>
    <t>微小球温度は、Σ（面積×放射熱伝達率×表面温度）÷Σ（面積×放射熱伝達率）とする。</t>
    <rPh sb="0" eb="2">
      <t>ビショウ</t>
    </rPh>
    <rPh sb="2" eb="3">
      <t>キュウ</t>
    </rPh>
    <rPh sb="3" eb="5">
      <t>オンド</t>
    </rPh>
    <rPh sb="19" eb="21">
      <t>ヒョウメン</t>
    </rPh>
    <rPh sb="21" eb="22">
      <t>アタタ</t>
    </rPh>
    <rPh sb="22" eb="23">
      <t>ド</t>
    </rPh>
    <rPh sb="27" eb="28">
      <t>メン</t>
    </rPh>
    <rPh sb="28" eb="29">
      <t>セキ</t>
    </rPh>
    <rPh sb="30" eb="32">
      <t>ホウシャ</t>
    </rPh>
    <rPh sb="32" eb="33">
      <t>アツ</t>
    </rPh>
    <rPh sb="33" eb="34">
      <t>ツタ</t>
    </rPh>
    <rPh sb="34" eb="35">
      <t>タツ</t>
    </rPh>
    <rPh sb="35" eb="36">
      <t>リツ</t>
    </rPh>
    <phoneticPr fontId="1"/>
  </si>
  <si>
    <t>㎥/s</t>
    <phoneticPr fontId="1"/>
  </si>
  <si>
    <t>物性値</t>
    <rPh sb="0" eb="3">
      <t>ブッセイチ</t>
    </rPh>
    <phoneticPr fontId="1"/>
  </si>
  <si>
    <t>空気</t>
    <rPh sb="0" eb="2">
      <t>クウキ</t>
    </rPh>
    <phoneticPr fontId="1"/>
  </si>
  <si>
    <t>kg/㎥</t>
    <phoneticPr fontId="1"/>
  </si>
  <si>
    <t>J/(㎥･K)</t>
    <phoneticPr fontId="1"/>
  </si>
  <si>
    <t>J/(kg･K)</t>
    <phoneticPr fontId="1"/>
  </si>
  <si>
    <t>比熱</t>
    <rPh sb="0" eb="1">
      <t>ヒ</t>
    </rPh>
    <rPh sb="1" eb="2">
      <t>アツ</t>
    </rPh>
    <phoneticPr fontId="1"/>
  </si>
  <si>
    <t>密度</t>
    <rPh sb="0" eb="2">
      <t>ミツド</t>
    </rPh>
    <phoneticPr fontId="1"/>
  </si>
  <si>
    <t>容積比熱</t>
    <rPh sb="0" eb="2">
      <t>ヨウセキ</t>
    </rPh>
    <rPh sb="2" eb="3">
      <t>ヒ</t>
    </rPh>
    <rPh sb="3" eb="4">
      <t>アツ</t>
    </rPh>
    <phoneticPr fontId="1"/>
  </si>
  <si>
    <t>対流</t>
    <rPh sb="0" eb="2">
      <t>タイリュウ</t>
    </rPh>
    <phoneticPr fontId="1"/>
  </si>
  <si>
    <t>換気</t>
    <rPh sb="0" eb="2">
      <t>カンキ</t>
    </rPh>
    <phoneticPr fontId="1"/>
  </si>
  <si>
    <t>空気
熱損失</t>
    <rPh sb="0" eb="2">
      <t>クウキ</t>
    </rPh>
    <phoneticPr fontId="1"/>
  </si>
  <si>
    <t>合計</t>
    <rPh sb="0" eb="2">
      <t>ゴウケイ</t>
    </rPh>
    <phoneticPr fontId="1"/>
  </si>
  <si>
    <t>対流熱損失は、室空気と表面温度の温度差、対流熱伝達率より求める。</t>
    <rPh sb="7" eb="8">
      <t>シツ</t>
    </rPh>
    <rPh sb="8" eb="10">
      <t>クウキ</t>
    </rPh>
    <rPh sb="11" eb="14">
      <t>ヒョウメンオン</t>
    </rPh>
    <rPh sb="14" eb="15">
      <t>ド</t>
    </rPh>
    <rPh sb="16" eb="17">
      <t>アタタ</t>
    </rPh>
    <rPh sb="17" eb="18">
      <t>ド</t>
    </rPh>
    <rPh sb="18" eb="19">
      <t>サ</t>
    </rPh>
    <rPh sb="20" eb="22">
      <t>タイリュウ</t>
    </rPh>
    <rPh sb="22" eb="23">
      <t>アツ</t>
    </rPh>
    <rPh sb="23" eb="24">
      <t>ツタ</t>
    </rPh>
    <rPh sb="24" eb="25">
      <t>タツ</t>
    </rPh>
    <rPh sb="25" eb="26">
      <t>リツ</t>
    </rPh>
    <rPh sb="28" eb="29">
      <t>モト</t>
    </rPh>
    <phoneticPr fontId="1"/>
  </si>
  <si>
    <t>換気熱損失は、室空気と外気の温度差、空気の容積比熱より求める。</t>
    <rPh sb="0" eb="2">
      <t>カンキ</t>
    </rPh>
    <rPh sb="7" eb="8">
      <t>シツ</t>
    </rPh>
    <rPh sb="8" eb="10">
      <t>クウキ</t>
    </rPh>
    <rPh sb="11" eb="13">
      <t>ガイキ</t>
    </rPh>
    <rPh sb="14" eb="15">
      <t>アタタ</t>
    </rPh>
    <rPh sb="15" eb="16">
      <t>ド</t>
    </rPh>
    <rPh sb="16" eb="17">
      <t>サ</t>
    </rPh>
    <rPh sb="18" eb="20">
      <t>クウキ</t>
    </rPh>
    <rPh sb="21" eb="23">
      <t>ヨウセキ</t>
    </rPh>
    <rPh sb="23" eb="25">
      <t>ヒネツ</t>
    </rPh>
    <rPh sb="27" eb="28">
      <t>モト</t>
    </rPh>
    <phoneticPr fontId="1"/>
  </si>
  <si>
    <t>1㎥/h</t>
    <phoneticPr fontId="1"/>
  </si>
  <si>
    <t>内部発熱なし。</t>
    <rPh sb="0" eb="4">
      <t>ウチブハツアツ</t>
    </rPh>
    <phoneticPr fontId="1"/>
  </si>
  <si>
    <t>透過日射</t>
    <rPh sb="0" eb="2">
      <t>トウカ</t>
    </rPh>
    <rPh sb="2" eb="3">
      <t>ヒ</t>
    </rPh>
    <rPh sb="3" eb="4">
      <t>イ</t>
    </rPh>
    <phoneticPr fontId="1"/>
  </si>
  <si>
    <t>透過日射床分配割合</t>
    <rPh sb="0" eb="2">
      <t>トウカ</t>
    </rPh>
    <rPh sb="2" eb="3">
      <t>ヒ</t>
    </rPh>
    <rPh sb="3" eb="4">
      <t>イ</t>
    </rPh>
    <rPh sb="4" eb="5">
      <t>ユカ</t>
    </rPh>
    <rPh sb="5" eb="6">
      <t>ブ</t>
    </rPh>
    <rPh sb="6" eb="7">
      <t>クバ</t>
    </rPh>
    <rPh sb="7" eb="9">
      <t>ワリアイ</t>
    </rPh>
    <phoneticPr fontId="1"/>
  </si>
  <si>
    <t>床の単位面積あたり透過日射は、室の透過日射と、床への分配割合、床面積より求める。</t>
    <rPh sb="0" eb="1">
      <t>ユカ</t>
    </rPh>
    <rPh sb="15" eb="16">
      <t>シツ</t>
    </rPh>
    <rPh sb="23" eb="24">
      <t>ユカ</t>
    </rPh>
    <rPh sb="26" eb="28">
      <t>ブクバ</t>
    </rPh>
    <rPh sb="28" eb="30">
      <t>ワリアイ</t>
    </rPh>
    <rPh sb="31" eb="34">
      <t>ユカメンセキ</t>
    </rPh>
    <rPh sb="36" eb="37">
      <t>モト</t>
    </rPh>
    <phoneticPr fontId="1"/>
  </si>
  <si>
    <t>W/㎡</t>
  </si>
  <si>
    <t>透過日射</t>
    <rPh sb="0" eb="2">
      <t>トウカ</t>
    </rPh>
    <rPh sb="2" eb="3">
      <t>ヒ</t>
    </rPh>
    <rPh sb="3" eb="4">
      <t>イ</t>
    </rPh>
    <phoneticPr fontId="1"/>
  </si>
  <si>
    <t>作用温度は、室空気温度、微小球温度、対流熱伝達率、放射熱伝達率より求める。床では、単位面積あたり透過日射も考慮する。</t>
    <rPh sb="0" eb="2">
      <t>サヨウ</t>
    </rPh>
    <rPh sb="2" eb="3">
      <t>アタタ</t>
    </rPh>
    <rPh sb="3" eb="4">
      <t>ド</t>
    </rPh>
    <rPh sb="6" eb="7">
      <t>シツ</t>
    </rPh>
    <rPh sb="7" eb="11">
      <t>クウキオンド</t>
    </rPh>
    <rPh sb="12" eb="14">
      <t>ビショウ</t>
    </rPh>
    <rPh sb="14" eb="15">
      <t>キュウ</t>
    </rPh>
    <rPh sb="15" eb="17">
      <t>オンド</t>
    </rPh>
    <rPh sb="33" eb="34">
      <t>モト</t>
    </rPh>
    <rPh sb="53" eb="55">
      <t>コウリョ</t>
    </rPh>
    <phoneticPr fontId="1"/>
  </si>
  <si>
    <t>永田の方法</t>
    <rPh sb="0" eb="2">
      <t>ナガタ</t>
    </rPh>
    <rPh sb="3" eb="5">
      <t>ホウホウ</t>
    </rPh>
    <phoneticPr fontId="3"/>
  </si>
  <si>
    <t>面積</t>
    <rPh sb="0" eb="2">
      <t>メンセキ</t>
    </rPh>
    <phoneticPr fontId="3"/>
  </si>
  <si>
    <t>面積比</t>
    <rPh sb="0" eb="2">
      <t>メンセキ</t>
    </rPh>
    <rPh sb="2" eb="3">
      <t>ヒ</t>
    </rPh>
    <phoneticPr fontId="3"/>
  </si>
  <si>
    <t>微小球から面を見た形態係数</t>
    <rPh sb="0" eb="2">
      <t>ビショウ</t>
    </rPh>
    <rPh sb="2" eb="3">
      <t>キュウ</t>
    </rPh>
    <rPh sb="5" eb="6">
      <t>メン</t>
    </rPh>
    <rPh sb="7" eb="8">
      <t>ミ</t>
    </rPh>
    <rPh sb="9" eb="11">
      <t>ケイタイ</t>
    </rPh>
    <rPh sb="11" eb="13">
      <t>ケイスウ</t>
    </rPh>
    <phoneticPr fontId="3"/>
  </si>
  <si>
    <t>放射率</t>
    <rPh sb="0" eb="3">
      <t>ホウシャリツ</t>
    </rPh>
    <phoneticPr fontId="3"/>
  </si>
  <si>
    <t>放射熱伝達率[W/(m2･K)]</t>
    <rPh sb="0" eb="2">
      <t>ホウシャ</t>
    </rPh>
    <rPh sb="2" eb="6">
      <t>ネツデンタツリツ</t>
    </rPh>
    <phoneticPr fontId="3"/>
  </si>
  <si>
    <t>f_bar</t>
    <phoneticPr fontId="3"/>
  </si>
  <si>
    <t>平均温度</t>
    <rPh sb="0" eb="2">
      <t>ヘイキン</t>
    </rPh>
    <rPh sb="2" eb="4">
      <t>オンド</t>
    </rPh>
    <phoneticPr fontId="3"/>
  </si>
  <si>
    <t>計</t>
    <rPh sb="0" eb="1">
      <t>ケイ</t>
    </rPh>
    <phoneticPr fontId="3"/>
  </si>
  <si>
    <t>放射率</t>
    <rPh sb="0" eb="2">
      <t>ホウシャ</t>
    </rPh>
    <rPh sb="2" eb="3">
      <t>リツ</t>
    </rPh>
    <phoneticPr fontId="1"/>
  </si>
  <si>
    <t>-</t>
    <phoneticPr fontId="1"/>
  </si>
  <si>
    <t>放射熱伝達率は永田先生の方法、対流熱伝達率は室内側表面熱伝達抵抗(固定値）と放射熱伝達率より求める。</t>
    <rPh sb="0" eb="2">
      <t>ホウシャ</t>
    </rPh>
    <rPh sb="7" eb="8">
      <t>エイ</t>
    </rPh>
    <rPh sb="8" eb="9">
      <t>ダ</t>
    </rPh>
    <rPh sb="9" eb="11">
      <t>センセイ</t>
    </rPh>
    <rPh sb="12" eb="14">
      <t>ホウホウ</t>
    </rPh>
    <rPh sb="22" eb="23">
      <t>シツ</t>
    </rPh>
    <rPh sb="23" eb="24">
      <t>ウチ</t>
    </rPh>
    <rPh sb="24" eb="25">
      <t>ガワ</t>
    </rPh>
    <rPh sb="25" eb="27">
      <t>ヒョウメン</t>
    </rPh>
    <rPh sb="27" eb="28">
      <t>アツ</t>
    </rPh>
    <rPh sb="28" eb="29">
      <t>ツタ</t>
    </rPh>
    <rPh sb="30" eb="32">
      <t>テイコウ</t>
    </rPh>
    <rPh sb="33" eb="36">
      <t>コテイチ</t>
    </rPh>
    <rPh sb="38" eb="40">
      <t>ホウシャ</t>
    </rPh>
    <rPh sb="40" eb="44">
      <t>ネツデンタツリツ</t>
    </rPh>
    <rPh sb="46" eb="47">
      <t>モト</t>
    </rPh>
    <phoneticPr fontId="1"/>
  </si>
  <si>
    <t>人体に対する形態係数</t>
    <rPh sb="0" eb="2">
      <t>ジンタイ</t>
    </rPh>
    <rPh sb="3" eb="4">
      <t>タイ</t>
    </rPh>
    <rPh sb="6" eb="8">
      <t>ケイタイ</t>
    </rPh>
    <rPh sb="8" eb="10">
      <t>ケイスウ</t>
    </rPh>
    <phoneticPr fontId="1"/>
  </si>
  <si>
    <t>人体に対する平均放射温度</t>
    <rPh sb="0" eb="2">
      <t>ジンタイ</t>
    </rPh>
    <rPh sb="3" eb="4">
      <t>タイ</t>
    </rPh>
    <rPh sb="6" eb="8">
      <t>ヘイキン</t>
    </rPh>
    <rPh sb="8" eb="10">
      <t>ホウシャ</t>
    </rPh>
    <rPh sb="10" eb="12">
      <t>オンド</t>
    </rPh>
    <phoneticPr fontId="1"/>
  </si>
  <si>
    <t>等価室温</t>
    <rPh sb="0" eb="2">
      <t>トウカ</t>
    </rPh>
    <rPh sb="2" eb="4">
      <t>シツオン</t>
    </rPh>
    <phoneticPr fontId="1"/>
  </si>
  <si>
    <t>壁</t>
  </si>
  <si>
    <t>床</t>
  </si>
  <si>
    <t>屋根</t>
  </si>
  <si>
    <t>家具</t>
    <rPh sb="0" eb="2">
      <t>カグ</t>
    </rPh>
    <phoneticPr fontId="1"/>
  </si>
  <si>
    <t>コンダクタンス</t>
    <phoneticPr fontId="1"/>
  </si>
  <si>
    <t>熱容量</t>
    <rPh sb="0" eb="3">
      <t>ネツヨウリョウ</t>
    </rPh>
    <phoneticPr fontId="1"/>
  </si>
  <si>
    <t>J/K</t>
    <phoneticPr fontId="1"/>
  </si>
  <si>
    <t>温度</t>
    <rPh sb="0" eb="2">
      <t>オンド</t>
    </rPh>
    <phoneticPr fontId="1"/>
  </si>
  <si>
    <t>熱量</t>
    <rPh sb="0" eb="2">
      <t>ネツリョウ</t>
    </rPh>
    <phoneticPr fontId="1"/>
  </si>
  <si>
    <t>W</t>
    <phoneticPr fontId="1"/>
  </si>
  <si>
    <t>－</t>
    <phoneticPr fontId="1"/>
  </si>
  <si>
    <t>法線面直達日射量</t>
    <rPh sb="0" eb="3">
      <t>ホウセンメン</t>
    </rPh>
    <rPh sb="3" eb="5">
      <t>チョクタツ</t>
    </rPh>
    <rPh sb="5" eb="7">
      <t>ニッシャ</t>
    </rPh>
    <rPh sb="7" eb="8">
      <t>リョウ</t>
    </rPh>
    <phoneticPr fontId="1"/>
  </si>
  <si>
    <t>W/m2</t>
    <phoneticPr fontId="1"/>
  </si>
  <si>
    <t>水平面天空日射量</t>
    <rPh sb="0" eb="3">
      <t>スイヘイメン</t>
    </rPh>
    <rPh sb="3" eb="5">
      <t>テンクウ</t>
    </rPh>
    <rPh sb="5" eb="7">
      <t>ニッシャ</t>
    </rPh>
    <rPh sb="7" eb="8">
      <t>リョウ</t>
    </rPh>
    <phoneticPr fontId="1"/>
  </si>
  <si>
    <t>換気量</t>
    <rPh sb="0" eb="3">
      <t>カンキリョウ</t>
    </rPh>
    <phoneticPr fontId="1"/>
  </si>
  <si>
    <t>夜間放射</t>
    <rPh sb="0" eb="2">
      <t>ヤカン</t>
    </rPh>
    <rPh sb="2" eb="4">
      <t>ホウシャ</t>
    </rPh>
    <phoneticPr fontId="1"/>
  </si>
  <si>
    <t>太陽方位角</t>
    <rPh sb="0" eb="2">
      <t>タイヨウ</t>
    </rPh>
    <rPh sb="2" eb="4">
      <t>ホウイ</t>
    </rPh>
    <rPh sb="4" eb="5">
      <t>カク</t>
    </rPh>
    <phoneticPr fontId="1"/>
  </si>
  <si>
    <t>太陽高度</t>
    <rPh sb="0" eb="2">
      <t>タイヨウ</t>
    </rPh>
    <rPh sb="2" eb="4">
      <t>コウド</t>
    </rPh>
    <phoneticPr fontId="1"/>
  </si>
  <si>
    <t>傾斜面傾斜角</t>
    <rPh sb="0" eb="2">
      <t>ケイシャ</t>
    </rPh>
    <rPh sb="2" eb="3">
      <t>メン</t>
    </rPh>
    <rPh sb="3" eb="5">
      <t>ケイシャ</t>
    </rPh>
    <rPh sb="5" eb="6">
      <t>カク</t>
    </rPh>
    <phoneticPr fontId="1"/>
  </si>
  <si>
    <t>傾斜面方位角</t>
    <rPh sb="0" eb="2">
      <t>ケイシャ</t>
    </rPh>
    <rPh sb="2" eb="3">
      <t>メン</t>
    </rPh>
    <rPh sb="3" eb="5">
      <t>ホウイ</t>
    </rPh>
    <rPh sb="5" eb="6">
      <t>カク</t>
    </rPh>
    <phoneticPr fontId="1"/>
  </si>
  <si>
    <t>cosθ</t>
    <phoneticPr fontId="1"/>
  </si>
  <si>
    <t>入射角方向余弦</t>
    <rPh sb="0" eb="3">
      <t>ニュウシャカク</t>
    </rPh>
    <rPh sb="3" eb="5">
      <t>ホウコウ</t>
    </rPh>
    <rPh sb="5" eb="7">
      <t>ヨゲン</t>
    </rPh>
    <phoneticPr fontId="1"/>
  </si>
  <si>
    <t>rad</t>
    <phoneticPr fontId="1"/>
  </si>
  <si>
    <t>地面日射反射率</t>
    <rPh sb="0" eb="2">
      <t>ジメン</t>
    </rPh>
    <rPh sb="2" eb="4">
      <t>ニッシャ</t>
    </rPh>
    <rPh sb="4" eb="6">
      <t>ハンシャ</t>
    </rPh>
    <rPh sb="6" eb="7">
      <t>リツ</t>
    </rPh>
    <phoneticPr fontId="1"/>
  </si>
  <si>
    <t>水平面全天日射量</t>
    <rPh sb="0" eb="3">
      <t>スイヘイメン</t>
    </rPh>
    <rPh sb="3" eb="5">
      <t>ゼンテン</t>
    </rPh>
    <rPh sb="5" eb="7">
      <t>ニッシャ</t>
    </rPh>
    <rPh sb="7" eb="8">
      <t>リョウ</t>
    </rPh>
    <phoneticPr fontId="1"/>
  </si>
  <si>
    <t>地面反射日射量</t>
    <rPh sb="0" eb="2">
      <t>ジメン</t>
    </rPh>
    <rPh sb="2" eb="4">
      <t>ハンシャ</t>
    </rPh>
    <rPh sb="4" eb="6">
      <t>ニッシャ</t>
    </rPh>
    <rPh sb="6" eb="7">
      <t>リョウ</t>
    </rPh>
    <phoneticPr fontId="1"/>
  </si>
  <si>
    <t>傾斜面日射量</t>
    <rPh sb="0" eb="2">
      <t>ケイシャ</t>
    </rPh>
    <rPh sb="2" eb="3">
      <t>メン</t>
    </rPh>
    <rPh sb="3" eb="5">
      <t>ニッシャ</t>
    </rPh>
    <rPh sb="5" eb="6">
      <t>リョウ</t>
    </rPh>
    <phoneticPr fontId="1"/>
  </si>
  <si>
    <t>天空に対する形態係数</t>
    <rPh sb="0" eb="2">
      <t>テンクウ</t>
    </rPh>
    <rPh sb="3" eb="4">
      <t>タイ</t>
    </rPh>
    <rPh sb="6" eb="8">
      <t>ケイタイ</t>
    </rPh>
    <rPh sb="8" eb="10">
      <t>ケイスウ</t>
    </rPh>
    <phoneticPr fontId="1"/>
  </si>
  <si>
    <t>地面に対する形態係数</t>
    <rPh sb="0" eb="2">
      <t>ジメン</t>
    </rPh>
    <rPh sb="3" eb="4">
      <t>タイ</t>
    </rPh>
    <rPh sb="6" eb="8">
      <t>ケイタイ</t>
    </rPh>
    <rPh sb="8" eb="10">
      <t>ケイスウ</t>
    </rPh>
    <phoneticPr fontId="1"/>
  </si>
  <si>
    <t>全ての部位が合板12mmの立方体の単室モデル。</t>
    <rPh sb="0" eb="1">
      <t>スベ</t>
    </rPh>
    <rPh sb="3" eb="5">
      <t>ブイ</t>
    </rPh>
    <rPh sb="6" eb="8">
      <t>ゴウハン</t>
    </rPh>
    <rPh sb="13" eb="16">
      <t>リッポウタイ</t>
    </rPh>
    <rPh sb="17" eb="18">
      <t>ヒトエ</t>
    </rPh>
    <rPh sb="18" eb="19">
      <t>シツ</t>
    </rPh>
    <phoneticPr fontId="1"/>
  </si>
  <si>
    <t>外気温度0℃、法線面直達日射量700W/m2、水平面天空日射200W/m2。太陽高度30度、太陽方位角0度</t>
    <rPh sb="0" eb="2">
      <t>ガイキ</t>
    </rPh>
    <rPh sb="2" eb="3">
      <t>アタタ</t>
    </rPh>
    <rPh sb="3" eb="4">
      <t>ド</t>
    </rPh>
    <rPh sb="7" eb="10">
      <t>ホウセンメン</t>
    </rPh>
    <rPh sb="10" eb="12">
      <t>チョクタツ</t>
    </rPh>
    <rPh sb="12" eb="14">
      <t>ニッシャ</t>
    </rPh>
    <rPh sb="14" eb="15">
      <t>リョウ</t>
    </rPh>
    <rPh sb="23" eb="26">
      <t>スイヘイメン</t>
    </rPh>
    <rPh sb="26" eb="28">
      <t>テンクウ</t>
    </rPh>
    <rPh sb="28" eb="30">
      <t>ニッシャ</t>
    </rPh>
    <rPh sb="38" eb="40">
      <t>タイヨウ</t>
    </rPh>
    <rPh sb="40" eb="42">
      <t>コウド</t>
    </rPh>
    <rPh sb="44" eb="45">
      <t>ド</t>
    </rPh>
    <rPh sb="46" eb="48">
      <t>タイヨウ</t>
    </rPh>
    <rPh sb="48" eb="50">
      <t>ホウイ</t>
    </rPh>
    <rPh sb="50" eb="51">
      <t>カク</t>
    </rPh>
    <rPh sb="52" eb="53">
      <t>ド</t>
    </rPh>
    <phoneticPr fontId="1"/>
  </si>
  <si>
    <t>室空気からの熱損失が、0Wとなるよう収束計算を行い、室温等を決定する。</t>
    <rPh sb="0" eb="1">
      <t>シツ</t>
    </rPh>
    <rPh sb="1" eb="3">
      <t>クウキ</t>
    </rPh>
    <rPh sb="23" eb="24">
      <t>オコナ</t>
    </rPh>
    <rPh sb="26" eb="28">
      <t>シツオン</t>
    </rPh>
    <rPh sb="28" eb="29">
      <t>トウ</t>
    </rPh>
    <rPh sb="30" eb="32">
      <t>ケッテイ</t>
    </rPh>
    <phoneticPr fontId="1"/>
  </si>
  <si>
    <t>室空気からの対流熱損失は、対流熱損失より求める。</t>
    <rPh sb="13" eb="15">
      <t>タイリュウ</t>
    </rPh>
    <rPh sb="15" eb="16">
      <t>アツ</t>
    </rPh>
    <rPh sb="16" eb="18">
      <t>ソンシツ</t>
    </rPh>
    <rPh sb="20" eb="21">
      <t>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</si>
</sst>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000"/>
    <numFmt numFmtId="177" formatCode="0.00000000000"/>
    <numFmt numFmtId="178" formatCode="0.000"/>
    <numFmt numFmtId="179" formatCode="0.00000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2" fillId="0" borderId="1" xfId="1" applyBorder="1">
      <alignment vertical="center"/>
    </xf>
    <xf numFmtId="0" fontId="2" fillId="0" borderId="0" xfId="1">
      <alignment vertical="center"/>
    </xf>
    <xf numFmtId="0" fontId="2" fillId="0" borderId="1" xfId="1" applyBorder="1" applyAlignment="1">
      <alignment vertical="center" wrapText="1"/>
    </xf>
    <xf numFmtId="0" fontId="2" fillId="2" borderId="1" xfId="1" applyFill="1" applyBorder="1">
      <alignment vertical="center"/>
    </xf>
    <xf numFmtId="2" fontId="2" fillId="0" borderId="1" xfId="1" applyNumberFormat="1" applyBorder="1">
      <alignment vertical="center"/>
    </xf>
    <xf numFmtId="178" fontId="2" fillId="0" borderId="1" xfId="1" applyNumberFormat="1" applyBorder="1">
      <alignment vertical="center"/>
    </xf>
    <xf numFmtId="179" fontId="2" fillId="0" borderId="1" xfId="1" applyNumberFormat="1" applyBorder="1">
      <alignment vertical="center"/>
    </xf>
    <xf numFmtId="179" fontId="2" fillId="2" borderId="1" xfId="1" applyNumberForma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2">
    <cellStyle name="標準" xfId="0" builtinId="0"/>
    <cellStyle name="標準 2" xfId="1" xr:uid="{FDFCF91B-4268-44BE-B85B-3219AF36E5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297180</xdr:colOff>
      <xdr:row>9</xdr:row>
      <xdr:rowOff>0</xdr:rowOff>
    </xdr:from>
    <xdr:ext cx="1526572" cy="558102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6AB42E6-2465-4BF1-B11E-26C47E726AE1}"/>
            </a:ext>
          </a:extLst>
        </xdr:cNvPr>
        <xdr:cNvSpPr txBox="1"/>
      </xdr:nvSpPr>
      <xdr:spPr>
        <a:xfrm>
          <a:off x="5341620" y="1600200"/>
          <a:ext cx="1526572" cy="55810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D9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が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1.0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となるように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H2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を収束計算で求める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420382</xdr:colOff>
      <xdr:row>28</xdr:row>
      <xdr:rowOff>79681</xdr:rowOff>
    </xdr:from>
    <xdr:to>
      <xdr:col>11</xdr:col>
      <xdr:colOff>36634</xdr:colOff>
      <xdr:row>29</xdr:row>
      <xdr:rowOff>80597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558B6F7-449A-BAB8-0F07-CA94D275D2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" r="42182" b="6988"/>
        <a:stretch/>
      </xdr:blipFill>
      <xdr:spPr>
        <a:xfrm>
          <a:off x="6941344" y="6849758"/>
          <a:ext cx="3360309" cy="242704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28</xdr:row>
      <xdr:rowOff>73269</xdr:rowOff>
    </xdr:from>
    <xdr:to>
      <xdr:col>11</xdr:col>
      <xdr:colOff>1381606</xdr:colOff>
      <xdr:row>30</xdr:row>
      <xdr:rowOff>28019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7381CF1-D34B-0AC5-255A-5FD6ECA0E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5519" y="6843346"/>
          <a:ext cx="1191106" cy="438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D0BD2-17D5-49FF-838C-CD87363E756B}">
  <dimension ref="A1:H9"/>
  <sheetViews>
    <sheetView showGridLines="0" workbookViewId="0">
      <selection activeCell="F6" sqref="F6"/>
    </sheetView>
  </sheetViews>
  <sheetFormatPr defaultColWidth="8.75" defaultRowHeight="12" x14ac:dyDescent="0.4"/>
  <cols>
    <col min="1" max="1" width="19" style="7" bestFit="1" customWidth="1"/>
    <col min="2" max="2" width="6.375" style="7" bestFit="1" customWidth="1"/>
    <col min="3" max="3" width="5.875" style="7" bestFit="1" customWidth="1"/>
    <col min="4" max="4" width="13.25" style="7" customWidth="1"/>
    <col min="5" max="5" width="8.75" style="7"/>
    <col min="6" max="6" width="12.875" style="7" customWidth="1"/>
    <col min="7" max="16384" width="8.75" style="7"/>
  </cols>
  <sheetData>
    <row r="1" spans="1:8" x14ac:dyDescent="0.4">
      <c r="A1" s="6"/>
      <c r="B1" s="6"/>
      <c r="C1" s="6"/>
      <c r="D1" s="6"/>
      <c r="E1" s="6"/>
      <c r="F1" s="6" t="s">
        <v>67</v>
      </c>
    </row>
    <row r="2" spans="1:8" ht="24" x14ac:dyDescent="0.4">
      <c r="A2" s="6"/>
      <c r="B2" s="6" t="s">
        <v>68</v>
      </c>
      <c r="C2" s="6" t="s">
        <v>69</v>
      </c>
      <c r="D2" s="8" t="s">
        <v>70</v>
      </c>
      <c r="E2" s="6" t="s">
        <v>71</v>
      </c>
      <c r="F2" s="8" t="s">
        <v>72</v>
      </c>
      <c r="G2" s="6" t="s">
        <v>73</v>
      </c>
      <c r="H2" s="9">
        <v>1.199999999980782</v>
      </c>
    </row>
    <row r="3" spans="1:8" x14ac:dyDescent="0.4">
      <c r="A3" s="6" t="s">
        <v>82</v>
      </c>
      <c r="B3" s="10">
        <f>正解値!$P23</f>
        <v>1</v>
      </c>
      <c r="C3" s="11">
        <f t="shared" ref="C3:C8" si="0">B3/$B$9</f>
        <v>0.16666666666666666</v>
      </c>
      <c r="D3" s="12">
        <f t="shared" ref="D3:D8" si="1">0.5*(1-SIGN(1-4*C3/$H$2)*SQRT(ABS(1-4*C3/$H$2)))</f>
        <v>0.16666666667000313</v>
      </c>
      <c r="E3" s="6">
        <v>0.9</v>
      </c>
      <c r="F3" s="12">
        <f t="shared" ref="F3:F8" si="2">E3/(1-E3*D3)*4*0.0000000567*($H$3+273.15)^3</f>
        <v>6.0497346947957293</v>
      </c>
      <c r="G3" s="6" t="s">
        <v>74</v>
      </c>
      <c r="H3" s="6">
        <v>20</v>
      </c>
    </row>
    <row r="4" spans="1:8" x14ac:dyDescent="0.4">
      <c r="A4" s="6" t="s">
        <v>82</v>
      </c>
      <c r="B4" s="10">
        <f>正解値!$P24</f>
        <v>1</v>
      </c>
      <c r="C4" s="11">
        <f t="shared" si="0"/>
        <v>0.16666666666666666</v>
      </c>
      <c r="D4" s="12">
        <f t="shared" si="1"/>
        <v>0.16666666667000313</v>
      </c>
      <c r="E4" s="6">
        <v>0.9</v>
      </c>
      <c r="F4" s="12">
        <f t="shared" si="2"/>
        <v>6.0497346947957293</v>
      </c>
    </row>
    <row r="5" spans="1:8" x14ac:dyDescent="0.4">
      <c r="A5" s="6" t="s">
        <v>82</v>
      </c>
      <c r="B5" s="10">
        <f>正解値!$P25</f>
        <v>1</v>
      </c>
      <c r="C5" s="11">
        <f t="shared" si="0"/>
        <v>0.16666666666666666</v>
      </c>
      <c r="D5" s="12">
        <f t="shared" si="1"/>
        <v>0.16666666667000313</v>
      </c>
      <c r="E5" s="6">
        <v>0.9</v>
      </c>
      <c r="F5" s="12">
        <f t="shared" si="2"/>
        <v>6.0497346947957293</v>
      </c>
    </row>
    <row r="6" spans="1:8" x14ac:dyDescent="0.4">
      <c r="A6" s="6" t="s">
        <v>82</v>
      </c>
      <c r="B6" s="10">
        <f>正解値!$P26</f>
        <v>1</v>
      </c>
      <c r="C6" s="11">
        <f t="shared" si="0"/>
        <v>0.16666666666666666</v>
      </c>
      <c r="D6" s="12">
        <f t="shared" si="1"/>
        <v>0.16666666667000313</v>
      </c>
      <c r="E6" s="6">
        <v>0.9</v>
      </c>
      <c r="F6" s="12">
        <f t="shared" si="2"/>
        <v>6.0497346947957293</v>
      </c>
    </row>
    <row r="7" spans="1:8" x14ac:dyDescent="0.4">
      <c r="A7" s="6" t="s">
        <v>83</v>
      </c>
      <c r="B7" s="10">
        <f>正解値!$P27</f>
        <v>1</v>
      </c>
      <c r="C7" s="11">
        <f t="shared" si="0"/>
        <v>0.16666666666666666</v>
      </c>
      <c r="D7" s="12">
        <f t="shared" si="1"/>
        <v>0.16666666667000313</v>
      </c>
      <c r="E7" s="6">
        <v>0.9</v>
      </c>
      <c r="F7" s="12">
        <f t="shared" si="2"/>
        <v>6.0497346947957293</v>
      </c>
    </row>
    <row r="8" spans="1:8" x14ac:dyDescent="0.4">
      <c r="A8" s="6" t="s">
        <v>84</v>
      </c>
      <c r="B8" s="10">
        <f>正解値!$P28</f>
        <v>1</v>
      </c>
      <c r="C8" s="11">
        <f t="shared" si="0"/>
        <v>0.16666666666666666</v>
      </c>
      <c r="D8" s="12">
        <f t="shared" si="1"/>
        <v>0.16666666667000313</v>
      </c>
      <c r="E8" s="6">
        <v>0.9</v>
      </c>
      <c r="F8" s="12">
        <f t="shared" si="2"/>
        <v>6.0497346947957293</v>
      </c>
    </row>
    <row r="9" spans="1:8" x14ac:dyDescent="0.4">
      <c r="A9" s="6" t="s">
        <v>75</v>
      </c>
      <c r="B9" s="10">
        <f>SUM(B3:B8)</f>
        <v>6</v>
      </c>
      <c r="C9" s="6"/>
      <c r="D9" s="13">
        <f>SUM(D3:D8)</f>
        <v>1.0000000000200189</v>
      </c>
      <c r="E9" s="6"/>
      <c r="F9" s="6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16CE-EF7A-442F-A723-10341F25AD0E}">
  <dimension ref="A1:AF47"/>
  <sheetViews>
    <sheetView showGridLines="0" tabSelected="1" zoomScaleNormal="100" workbookViewId="0">
      <selection activeCell="A15" sqref="A15"/>
    </sheetView>
  </sheetViews>
  <sheetFormatPr defaultRowHeight="18.75" x14ac:dyDescent="0.4"/>
  <cols>
    <col min="3" max="3" width="20.25" bestFit="1" customWidth="1"/>
    <col min="4" max="4" width="14.375" bestFit="1" customWidth="1"/>
    <col min="6" max="6" width="14.75" bestFit="1" customWidth="1"/>
    <col min="9" max="10" width="13.375" bestFit="1" customWidth="1"/>
    <col min="11" max="11" width="13.375" customWidth="1"/>
    <col min="12" max="13" width="21.25" bestFit="1" customWidth="1"/>
    <col min="14" max="14" width="13.375" customWidth="1"/>
    <col min="15" max="15" width="12.375" bestFit="1" customWidth="1"/>
    <col min="16" max="16" width="5" bestFit="1" customWidth="1"/>
    <col min="17" max="17" width="7.125" bestFit="1" customWidth="1"/>
    <col min="18" max="19" width="12.625" bestFit="1" customWidth="1"/>
    <col min="20" max="21" width="20.25" bestFit="1" customWidth="1"/>
    <col min="22" max="22" width="12.625" bestFit="1" customWidth="1"/>
    <col min="23" max="23" width="28.125" bestFit="1" customWidth="1"/>
    <col min="24" max="24" width="8.625" bestFit="1" customWidth="1"/>
    <col min="25" max="25" width="16" bestFit="1" customWidth="1"/>
    <col min="26" max="26" width="12.625" bestFit="1" customWidth="1"/>
    <col min="27" max="28" width="16.25" bestFit="1" customWidth="1"/>
    <col min="29" max="29" width="19.625" bestFit="1" customWidth="1"/>
    <col min="30" max="30" width="21.875" bestFit="1" customWidth="1"/>
    <col min="31" max="31" width="26.125" bestFit="1" customWidth="1"/>
    <col min="32" max="32" width="9.375" bestFit="1" customWidth="1"/>
  </cols>
  <sheetData>
    <row r="1" spans="1:1" x14ac:dyDescent="0.4">
      <c r="A1" t="s">
        <v>39</v>
      </c>
    </row>
    <row r="2" spans="1:1" x14ac:dyDescent="0.4">
      <c r="A2" t="s">
        <v>111</v>
      </c>
    </row>
    <row r="3" spans="1:1" x14ac:dyDescent="0.4">
      <c r="A3" t="s">
        <v>112</v>
      </c>
    </row>
    <row r="4" spans="1:1" x14ac:dyDescent="0.4">
      <c r="A4" t="s">
        <v>60</v>
      </c>
    </row>
    <row r="6" spans="1:1" x14ac:dyDescent="0.4">
      <c r="A6" t="s">
        <v>41</v>
      </c>
    </row>
    <row r="7" spans="1:1" x14ac:dyDescent="0.4">
      <c r="A7" t="s">
        <v>113</v>
      </c>
    </row>
    <row r="8" spans="1:1" x14ac:dyDescent="0.4">
      <c r="A8" t="s">
        <v>114</v>
      </c>
    </row>
    <row r="9" spans="1:1" x14ac:dyDescent="0.4">
      <c r="A9" t="s">
        <v>57</v>
      </c>
    </row>
    <row r="10" spans="1:1" x14ac:dyDescent="0.4">
      <c r="A10" t="s">
        <v>58</v>
      </c>
    </row>
    <row r="11" spans="1:1" x14ac:dyDescent="0.4">
      <c r="A11" t="s">
        <v>36</v>
      </c>
    </row>
    <row r="12" spans="1:1" x14ac:dyDescent="0.4">
      <c r="A12" t="s">
        <v>37</v>
      </c>
    </row>
    <row r="13" spans="1:1" x14ac:dyDescent="0.4">
      <c r="A13" t="s">
        <v>66</v>
      </c>
    </row>
    <row r="14" spans="1:1" x14ac:dyDescent="0.4">
      <c r="A14" t="s">
        <v>63</v>
      </c>
    </row>
    <row r="15" spans="1:1" x14ac:dyDescent="0.4">
      <c r="A15" t="s">
        <v>43</v>
      </c>
    </row>
    <row r="16" spans="1:1" x14ac:dyDescent="0.4">
      <c r="A16" t="s">
        <v>78</v>
      </c>
    </row>
    <row r="18" spans="1:32" x14ac:dyDescent="0.4">
      <c r="A18" t="s">
        <v>40</v>
      </c>
    </row>
    <row r="19" spans="1:32" x14ac:dyDescent="0.4">
      <c r="A19" t="s">
        <v>35</v>
      </c>
    </row>
    <row r="20" spans="1:32" x14ac:dyDescent="0.4">
      <c r="K20" t="s">
        <v>103</v>
      </c>
    </row>
    <row r="21" spans="1:32" x14ac:dyDescent="0.4">
      <c r="A21" s="22" t="s">
        <v>14</v>
      </c>
      <c r="B21" s="22"/>
      <c r="C21" s="22"/>
      <c r="D21" s="2" t="s">
        <v>13</v>
      </c>
      <c r="E21" s="2" t="s">
        <v>12</v>
      </c>
      <c r="F21" s="2" t="s">
        <v>15</v>
      </c>
      <c r="H21" s="1"/>
      <c r="I21" s="2" t="s">
        <v>100</v>
      </c>
      <c r="J21" s="2" t="s">
        <v>101</v>
      </c>
      <c r="K21" s="2" t="s">
        <v>102</v>
      </c>
      <c r="L21" s="2" t="s">
        <v>109</v>
      </c>
      <c r="M21" s="2" t="s">
        <v>110</v>
      </c>
      <c r="N21" s="2" t="s">
        <v>108</v>
      </c>
      <c r="O21" s="2" t="s">
        <v>28</v>
      </c>
      <c r="P21" s="2" t="s">
        <v>3</v>
      </c>
      <c r="Q21" s="2" t="s">
        <v>76</v>
      </c>
      <c r="R21" s="2" t="s">
        <v>22</v>
      </c>
      <c r="S21" s="2" t="s">
        <v>0</v>
      </c>
      <c r="T21" s="2" t="s">
        <v>21</v>
      </c>
      <c r="U21" s="2" t="s">
        <v>5</v>
      </c>
      <c r="V21" s="2" t="s">
        <v>4</v>
      </c>
      <c r="W21" s="2" t="s">
        <v>27</v>
      </c>
      <c r="X21" s="2" t="s">
        <v>65</v>
      </c>
      <c r="Y21" s="2" t="s">
        <v>11</v>
      </c>
      <c r="Z21" s="2" t="s">
        <v>81</v>
      </c>
      <c r="AA21" s="2" t="s">
        <v>31</v>
      </c>
      <c r="AB21" s="2" t="s">
        <v>32</v>
      </c>
      <c r="AC21" s="2" t="s">
        <v>29</v>
      </c>
      <c r="AD21" s="2" t="s">
        <v>79</v>
      </c>
      <c r="AE21" s="14" t="s">
        <v>80</v>
      </c>
      <c r="AF21" s="2" t="s">
        <v>81</v>
      </c>
    </row>
    <row r="22" spans="1:32" x14ac:dyDescent="0.4">
      <c r="A22" s="23" t="s">
        <v>45</v>
      </c>
      <c r="B22" s="23" t="s">
        <v>46</v>
      </c>
      <c r="C22" s="1" t="s">
        <v>50</v>
      </c>
      <c r="D22" s="1">
        <v>1005</v>
      </c>
      <c r="E22" s="2" t="s">
        <v>49</v>
      </c>
      <c r="F22" s="2"/>
      <c r="H22" s="1"/>
      <c r="I22" s="2" t="s">
        <v>104</v>
      </c>
      <c r="J22" s="2" t="s">
        <v>104</v>
      </c>
      <c r="K22" s="2" t="s">
        <v>92</v>
      </c>
      <c r="L22" s="2" t="s">
        <v>92</v>
      </c>
      <c r="M22" s="2" t="s">
        <v>92</v>
      </c>
      <c r="N22" s="2" t="s">
        <v>94</v>
      </c>
      <c r="O22" s="2" t="s">
        <v>23</v>
      </c>
      <c r="P22" s="2" t="s">
        <v>26</v>
      </c>
      <c r="Q22" s="2" t="s">
        <v>77</v>
      </c>
      <c r="R22" s="2" t="s">
        <v>25</v>
      </c>
      <c r="S22" s="2" t="s">
        <v>25</v>
      </c>
      <c r="T22" s="2" t="s">
        <v>24</v>
      </c>
      <c r="U22" s="2" t="s">
        <v>24</v>
      </c>
      <c r="V22" s="2" t="s">
        <v>24</v>
      </c>
      <c r="W22" s="2" t="s">
        <v>25</v>
      </c>
      <c r="X22" s="2" t="s">
        <v>64</v>
      </c>
      <c r="Y22" s="2" t="s">
        <v>23</v>
      </c>
      <c r="Z22" s="2" t="s">
        <v>23</v>
      </c>
      <c r="AA22" s="2" t="s">
        <v>30</v>
      </c>
      <c r="AB22" s="2" t="s">
        <v>30</v>
      </c>
      <c r="AC22" s="2" t="s">
        <v>30</v>
      </c>
      <c r="AD22" s="1"/>
      <c r="AE22" s="14" t="s">
        <v>9</v>
      </c>
      <c r="AF22" s="2" t="s">
        <v>9</v>
      </c>
    </row>
    <row r="23" spans="1:32" x14ac:dyDescent="0.4">
      <c r="A23" s="25"/>
      <c r="B23" s="25"/>
      <c r="C23" s="1" t="s">
        <v>51</v>
      </c>
      <c r="D23" s="1">
        <v>1.2</v>
      </c>
      <c r="E23" s="2" t="s">
        <v>47</v>
      </c>
      <c r="F23" s="2"/>
      <c r="H23" s="2" t="s">
        <v>38</v>
      </c>
      <c r="I23" s="1">
        <f>RADIANS(90)</f>
        <v>1.5707963267948966</v>
      </c>
      <c r="J23" s="1">
        <f>RADIANS(0)</f>
        <v>0</v>
      </c>
      <c r="K23" s="1">
        <f>MAX(SIN($D$30)*COS(I23)+COS($D$30)*SIN(I23)*COS($D$29-J23),0)</f>
        <v>0.86602540378443871</v>
      </c>
      <c r="L23" s="1">
        <f>(1+COS(I23))/2</f>
        <v>0.5</v>
      </c>
      <c r="M23" s="1">
        <f>1-L23</f>
        <v>0.5</v>
      </c>
      <c r="N23" s="1">
        <f>$D$26*K23+$D$27*L23+$D$33*M23</f>
        <v>733.71778264910711</v>
      </c>
      <c r="O23" s="1">
        <f>$D$25+N23*0.8*0.04</f>
        <v>23.478969044771429</v>
      </c>
      <c r="P23" s="1">
        <v>1</v>
      </c>
      <c r="Q23" s="1">
        <v>0.9</v>
      </c>
      <c r="R23" s="1">
        <f>熱伝達率!$F3</f>
        <v>6.0497346947957293</v>
      </c>
      <c r="S23" s="1">
        <f ca="1">1/$T23-$R23</f>
        <v>3.0411743961133499</v>
      </c>
      <c r="T23" s="1">
        <f t="shared" ref="T23:T28" ca="1" si="0">1/SUM($S23,$R23)</f>
        <v>0.11000000000000014</v>
      </c>
      <c r="U23" s="1">
        <v>0.04</v>
      </c>
      <c r="V23" s="1">
        <f t="shared" ref="V23:V26" si="1">0.012/0.16</f>
        <v>7.4999999999999997E-2</v>
      </c>
      <c r="W23" s="1">
        <f t="shared" ref="W23:W28" ca="1" si="2">1/(1/$S23+$V23+$U23)</f>
        <v>2.2531639699224311</v>
      </c>
      <c r="X23" s="1"/>
      <c r="Y23" s="5">
        <f t="shared" ref="Y23:Y28" ca="1" si="3">$O23+($Z23-$O23)*SUM($U23,$V23)/SUM($U23,$V23,$T23)</f>
        <v>16.170519266442973</v>
      </c>
      <c r="Z23" s="1">
        <f t="shared" ref="Z23:Z28" ca="1" si="4">($D$42*$S23+$D$43*$R23)/SUM($S23,$R23)+$X23/SUM($S23,$R23)</f>
        <v>9.1798281741283905</v>
      </c>
      <c r="AA23" s="1">
        <f t="shared" ref="AA23:AA28" ca="1" si="5">($D$42-$Y23)*$S23</f>
        <v>-21.259910761085109</v>
      </c>
      <c r="AB23" s="1">
        <f ca="1">($D$43-$Y23)*$R23</f>
        <v>-42.29182644177466</v>
      </c>
      <c r="AC23" s="4">
        <f t="shared" ref="AC23:AC27" ca="1" si="6">SUM($AA23,$AB23)</f>
        <v>-63.551737202859769</v>
      </c>
      <c r="AD23" s="1">
        <f>(1-$AD$27)*P23/SUM($P$23:$P$26,$P$28)</f>
        <v>0.11000000000000001</v>
      </c>
      <c r="AE23" s="15">
        <f ca="1">SUMPRODUCT(Y23:Y28,AD23:AD28)</f>
        <v>7.9464878465177655</v>
      </c>
      <c r="AF23" s="1">
        <f t="shared" ref="AF23:AF28" ca="1" si="7">(S23*$D$42+R23*$D$43+X23)*T23</f>
        <v>9.1798281741283905</v>
      </c>
    </row>
    <row r="24" spans="1:32" x14ac:dyDescent="0.4">
      <c r="A24" s="24"/>
      <c r="B24" s="24"/>
      <c r="C24" s="1" t="s">
        <v>52</v>
      </c>
      <c r="D24" s="1">
        <f>$D$22*$D$23</f>
        <v>1206</v>
      </c>
      <c r="E24" s="2" t="s">
        <v>48</v>
      </c>
      <c r="F24" s="2"/>
      <c r="H24" s="2" t="s">
        <v>38</v>
      </c>
      <c r="I24" s="1">
        <f t="shared" ref="I24:J26" si="8">RADIANS(90)</f>
        <v>1.5707963267948966</v>
      </c>
      <c r="J24" s="1">
        <f t="shared" si="8"/>
        <v>1.5707963267948966</v>
      </c>
      <c r="K24" s="1">
        <f t="shared" ref="K24:K28" si="9">MAX(SIN($D$30)*COS(I24)+COS($D$30)*SIN(I24)*COS($D$29-J24),0)</f>
        <v>8.3679195640621438E-17</v>
      </c>
      <c r="L24" s="1">
        <f t="shared" ref="L24:L28" si="10">(1+COS(I24))/2</f>
        <v>0.5</v>
      </c>
      <c r="M24" s="1">
        <f t="shared" ref="M24:M28" si="11">1-L24</f>
        <v>0.5</v>
      </c>
      <c r="N24" s="1">
        <f t="shared" ref="N24:N28" si="12">$D$26*K24+$D$27*L24+$D$33*M24</f>
        <v>127.50000000000006</v>
      </c>
      <c r="O24" s="1">
        <f t="shared" ref="O24:O28" si="13">$D$25+N24*0.8*0.04</f>
        <v>4.0800000000000027</v>
      </c>
      <c r="P24" s="1">
        <v>1</v>
      </c>
      <c r="Q24" s="1">
        <v>0.9</v>
      </c>
      <c r="R24" s="1">
        <f>熱伝達率!$F4</f>
        <v>6.0497346947957293</v>
      </c>
      <c r="S24" s="1">
        <f t="shared" ref="S24:S28" ca="1" si="14">1/$T24-$R24</f>
        <v>3.0411743961133499</v>
      </c>
      <c r="T24" s="1">
        <f t="shared" ca="1" si="0"/>
        <v>0.11000000000000014</v>
      </c>
      <c r="U24" s="1">
        <v>0.04</v>
      </c>
      <c r="V24" s="1">
        <f t="shared" si="1"/>
        <v>7.4999999999999997E-2</v>
      </c>
      <c r="W24" s="1">
        <f t="shared" ca="1" si="2"/>
        <v>2.2531639699224311</v>
      </c>
      <c r="X24" s="1"/>
      <c r="Y24" s="5">
        <f t="shared" ca="1" si="3"/>
        <v>6.6865788445547114</v>
      </c>
      <c r="Z24" s="1">
        <f t="shared" ca="1" si="4"/>
        <v>9.1798281741283905</v>
      </c>
      <c r="AA24" s="1">
        <f t="shared" ca="1" si="5"/>
        <v>7.5824060242259135</v>
      </c>
      <c r="AB24" s="1">
        <f ca="1">($D$43-$Y24)*$R24</f>
        <v>15.0834969718984</v>
      </c>
      <c r="AC24" s="4">
        <f t="shared" ca="1" si="6"/>
        <v>22.665902996124313</v>
      </c>
      <c r="AD24" s="1">
        <f>(1-$AD$27)*P24/SUM($P$23:$P$26,$P$28)</f>
        <v>0.11000000000000001</v>
      </c>
      <c r="AF24" s="1">
        <f t="shared" ca="1" si="7"/>
        <v>9.1798281741283905</v>
      </c>
    </row>
    <row r="25" spans="1:32" x14ac:dyDescent="0.4">
      <c r="A25" s="16" t="s">
        <v>16</v>
      </c>
      <c r="B25" s="16" t="s">
        <v>18</v>
      </c>
      <c r="C25" s="1" t="s">
        <v>10</v>
      </c>
      <c r="D25" s="1">
        <v>0</v>
      </c>
      <c r="E25" s="2" t="s">
        <v>9</v>
      </c>
      <c r="F25" s="1"/>
      <c r="H25" s="2" t="s">
        <v>38</v>
      </c>
      <c r="I25" s="1">
        <f t="shared" si="8"/>
        <v>1.5707963267948966</v>
      </c>
      <c r="J25" s="1">
        <f>-RADIANS(90)</f>
        <v>-1.5707963267948966</v>
      </c>
      <c r="K25" s="1">
        <f t="shared" si="9"/>
        <v>8.3679195640621438E-17</v>
      </c>
      <c r="L25" s="1">
        <f t="shared" si="10"/>
        <v>0.5</v>
      </c>
      <c r="M25" s="1">
        <f t="shared" si="11"/>
        <v>0.5</v>
      </c>
      <c r="N25" s="1">
        <f t="shared" si="12"/>
        <v>127.50000000000006</v>
      </c>
      <c r="O25" s="1">
        <f t="shared" si="13"/>
        <v>4.0800000000000027</v>
      </c>
      <c r="P25" s="1">
        <v>1</v>
      </c>
      <c r="Q25" s="1">
        <v>0.9</v>
      </c>
      <c r="R25" s="1">
        <f>熱伝達率!$F5</f>
        <v>6.0497346947957293</v>
      </c>
      <c r="S25" s="1">
        <f t="shared" ca="1" si="14"/>
        <v>3.0411743961133499</v>
      </c>
      <c r="T25" s="1">
        <f t="shared" ca="1" si="0"/>
        <v>0.11000000000000014</v>
      </c>
      <c r="U25" s="1">
        <v>0.04</v>
      </c>
      <c r="V25" s="1">
        <f t="shared" si="1"/>
        <v>7.4999999999999997E-2</v>
      </c>
      <c r="W25" s="1">
        <f t="shared" ca="1" si="2"/>
        <v>2.2531639699224311</v>
      </c>
      <c r="X25" s="1"/>
      <c r="Y25" s="5">
        <f t="shared" ca="1" si="3"/>
        <v>6.6865788445547114</v>
      </c>
      <c r="Z25" s="1">
        <f t="shared" ca="1" si="4"/>
        <v>9.1798281741283905</v>
      </c>
      <c r="AA25" s="1">
        <f t="shared" ca="1" si="5"/>
        <v>7.5824060242259135</v>
      </c>
      <c r="AB25" s="1">
        <f ca="1">($D$43-$Y25)*$R25</f>
        <v>15.0834969718984</v>
      </c>
      <c r="AC25" s="4">
        <f t="shared" ca="1" si="6"/>
        <v>22.665902996124313</v>
      </c>
      <c r="AD25" s="1">
        <f>(1-$AD$27)*P25/SUM($P$23:$P$26,$P$28)</f>
        <v>0.11000000000000001</v>
      </c>
      <c r="AF25" s="1">
        <f t="shared" ca="1" si="7"/>
        <v>9.1798281741283905</v>
      </c>
    </row>
    <row r="26" spans="1:32" x14ac:dyDescent="0.4">
      <c r="A26" s="18"/>
      <c r="B26" s="18"/>
      <c r="C26" s="1" t="s">
        <v>93</v>
      </c>
      <c r="D26" s="1">
        <v>700</v>
      </c>
      <c r="E26" s="2" t="s">
        <v>94</v>
      </c>
      <c r="F26" s="1"/>
      <c r="H26" s="2" t="s">
        <v>38</v>
      </c>
      <c r="I26" s="1">
        <f t="shared" si="8"/>
        <v>1.5707963267948966</v>
      </c>
      <c r="J26" s="1">
        <f>RADIANS(180)</f>
        <v>3.1415926535897931</v>
      </c>
      <c r="K26" s="1">
        <f t="shared" si="9"/>
        <v>0</v>
      </c>
      <c r="L26" s="1">
        <f t="shared" si="10"/>
        <v>0.5</v>
      </c>
      <c r="M26" s="1">
        <f t="shared" si="11"/>
        <v>0.5</v>
      </c>
      <c r="N26" s="1">
        <f t="shared" si="12"/>
        <v>127.5</v>
      </c>
      <c r="O26" s="1">
        <f t="shared" si="13"/>
        <v>4.08</v>
      </c>
      <c r="P26" s="1">
        <v>1</v>
      </c>
      <c r="Q26" s="1">
        <v>0.9</v>
      </c>
      <c r="R26" s="1">
        <f>熱伝達率!$F6</f>
        <v>6.0497346947957293</v>
      </c>
      <c r="S26" s="1">
        <f t="shared" ca="1" si="14"/>
        <v>3.0411743961133499</v>
      </c>
      <c r="T26" s="1">
        <f t="shared" ca="1" si="0"/>
        <v>0.11000000000000014</v>
      </c>
      <c r="U26" s="1">
        <v>0.04</v>
      </c>
      <c r="V26" s="1">
        <f t="shared" si="1"/>
        <v>7.4999999999999997E-2</v>
      </c>
      <c r="W26" s="1">
        <f t="shared" ca="1" si="2"/>
        <v>2.2531639699224311</v>
      </c>
      <c r="X26" s="1"/>
      <c r="Y26" s="5">
        <f t="shared" ca="1" si="3"/>
        <v>6.6865788445547105</v>
      </c>
      <c r="Z26" s="1">
        <f t="shared" ca="1" si="4"/>
        <v>9.1798281741283905</v>
      </c>
      <c r="AA26" s="1">
        <f t="shared" ca="1" si="5"/>
        <v>7.5824060242259161</v>
      </c>
      <c r="AB26" s="1">
        <f ca="1">($D$43-$Y26)*$R26</f>
        <v>15.083496971898406</v>
      </c>
      <c r="AC26" s="4">
        <f t="shared" ca="1" si="6"/>
        <v>22.665902996124323</v>
      </c>
      <c r="AD26" s="1">
        <f>(1-$AD$27)*P26/SUM($P$23:$P$26,$P$28)</f>
        <v>0.11000000000000001</v>
      </c>
      <c r="AF26" s="1">
        <f t="shared" ca="1" si="7"/>
        <v>9.1798281741283905</v>
      </c>
    </row>
    <row r="27" spans="1:32" x14ac:dyDescent="0.4">
      <c r="A27" s="18"/>
      <c r="B27" s="18"/>
      <c r="C27" s="1" t="s">
        <v>95</v>
      </c>
      <c r="D27" s="1">
        <v>200</v>
      </c>
      <c r="E27" s="2" t="s">
        <v>94</v>
      </c>
      <c r="F27" s="1"/>
      <c r="H27" s="2" t="s">
        <v>34</v>
      </c>
      <c r="I27" s="1">
        <f>RADIANS(180)</f>
        <v>3.1415926535897931</v>
      </c>
      <c r="J27" s="1">
        <f t="shared" ref="J27:J28" si="15">RADIANS(0)</f>
        <v>0</v>
      </c>
      <c r="K27" s="1">
        <f t="shared" si="9"/>
        <v>0</v>
      </c>
      <c r="L27" s="1">
        <f t="shared" si="10"/>
        <v>0</v>
      </c>
      <c r="M27" s="1">
        <f t="shared" si="11"/>
        <v>1</v>
      </c>
      <c r="N27" s="1">
        <f t="shared" si="12"/>
        <v>55</v>
      </c>
      <c r="O27" s="1">
        <f t="shared" si="13"/>
        <v>1.76</v>
      </c>
      <c r="P27" s="1">
        <v>1</v>
      </c>
      <c r="Q27" s="1">
        <v>0.9</v>
      </c>
      <c r="R27" s="1">
        <f>熱伝達率!$F7</f>
        <v>6.0497346947957293</v>
      </c>
      <c r="S27" s="1">
        <f t="shared" ca="1" si="14"/>
        <v>3.0411743961133499</v>
      </c>
      <c r="T27" s="1">
        <f t="shared" ca="1" si="0"/>
        <v>0.11000000000000014</v>
      </c>
      <c r="U27" s="1">
        <v>0.04</v>
      </c>
      <c r="V27" s="1">
        <f>0.012/0.16</f>
        <v>7.4999999999999997E-2</v>
      </c>
      <c r="W27" s="1">
        <f t="shared" ca="1" si="2"/>
        <v>2.2531639699224311</v>
      </c>
      <c r="X27" s="1">
        <f>($D$37*$D$38)/$P27</f>
        <v>0</v>
      </c>
      <c r="Y27" s="5">
        <f t="shared" ca="1" si="3"/>
        <v>5.5523566223324874</v>
      </c>
      <c r="Z27" s="1">
        <f t="shared" ca="1" si="4"/>
        <v>9.1798281741283905</v>
      </c>
      <c r="AA27" s="1">
        <f t="shared" ca="1" si="5"/>
        <v>11.031773605950926</v>
      </c>
      <c r="AB27" s="1">
        <f ca="1">($D$43-$Y27)*$R27+($D$37*$D$38)/$P$27</f>
        <v>21.945240501284502</v>
      </c>
      <c r="AC27" s="4">
        <f t="shared" ca="1" si="6"/>
        <v>32.977014107235426</v>
      </c>
      <c r="AD27" s="1">
        <v>0.45</v>
      </c>
      <c r="AF27" s="1">
        <f t="shared" ca="1" si="7"/>
        <v>9.1798281741283905</v>
      </c>
    </row>
    <row r="28" spans="1:32" x14ac:dyDescent="0.4">
      <c r="A28" s="18"/>
      <c r="B28" s="18"/>
      <c r="C28" s="1" t="s">
        <v>97</v>
      </c>
      <c r="D28" s="1">
        <v>0</v>
      </c>
      <c r="E28" s="2" t="s">
        <v>94</v>
      </c>
      <c r="F28" s="1"/>
      <c r="H28" s="2" t="s">
        <v>33</v>
      </c>
      <c r="I28" s="1">
        <f>RADIANS(0)</f>
        <v>0</v>
      </c>
      <c r="J28" s="1">
        <f t="shared" si="15"/>
        <v>0</v>
      </c>
      <c r="K28" s="1">
        <f t="shared" si="9"/>
        <v>0.49999999999999994</v>
      </c>
      <c r="L28" s="1">
        <f t="shared" si="10"/>
        <v>1</v>
      </c>
      <c r="M28" s="1">
        <f t="shared" si="11"/>
        <v>0</v>
      </c>
      <c r="N28" s="1">
        <f t="shared" si="12"/>
        <v>550</v>
      </c>
      <c r="O28" s="1">
        <f t="shared" si="13"/>
        <v>17.600000000000001</v>
      </c>
      <c r="P28" s="1">
        <v>1</v>
      </c>
      <c r="Q28" s="1">
        <v>0.9</v>
      </c>
      <c r="R28" s="1">
        <f>熱伝達率!$F8</f>
        <v>6.0497346947957293</v>
      </c>
      <c r="S28" s="1">
        <f t="shared" ca="1" si="14"/>
        <v>3.0411743961133499</v>
      </c>
      <c r="T28" s="1">
        <f t="shared" ca="1" si="0"/>
        <v>0.11000000000000014</v>
      </c>
      <c r="U28" s="1">
        <v>0.04</v>
      </c>
      <c r="V28" s="1">
        <f>0.012/0.16</f>
        <v>7.4999999999999997E-2</v>
      </c>
      <c r="W28" s="1">
        <f t="shared" ca="1" si="2"/>
        <v>2.2531639699224311</v>
      </c>
      <c r="X28" s="1"/>
      <c r="Y28" s="5">
        <f t="shared" ca="1" si="3"/>
        <v>13.296356622332494</v>
      </c>
      <c r="Z28" s="1">
        <f t="shared" ca="1" si="4"/>
        <v>9.1798281741283905</v>
      </c>
      <c r="AA28" s="1">
        <f t="shared" ca="1" si="5"/>
        <v>-12.519080917550875</v>
      </c>
      <c r="AB28" s="1">
        <f ca="1">($D$43-$Y28)*$R28</f>
        <v>-24.903904975213671</v>
      </c>
      <c r="AC28" s="4">
        <f ca="1">SUM($AA28,$AB28)</f>
        <v>-37.422985892764544</v>
      </c>
      <c r="AD28" s="1">
        <f>(1-$AD$27)*P28/SUM($P$23:$P$26,$P$28)</f>
        <v>0.11000000000000001</v>
      </c>
      <c r="AF28" s="1">
        <f t="shared" ca="1" si="7"/>
        <v>9.1798281741283905</v>
      </c>
    </row>
    <row r="29" spans="1:32" x14ac:dyDescent="0.4">
      <c r="A29" s="18"/>
      <c r="B29" s="18"/>
      <c r="C29" s="1" t="s">
        <v>98</v>
      </c>
      <c r="D29" s="1">
        <f>RADIANS(0)</f>
        <v>0</v>
      </c>
      <c r="E29" s="2" t="s">
        <v>104</v>
      </c>
      <c r="F29" s="1"/>
      <c r="H29" s="3"/>
    </row>
    <row r="30" spans="1:32" x14ac:dyDescent="0.4">
      <c r="A30" s="18"/>
      <c r="B30" s="18"/>
      <c r="C30" s="1" t="s">
        <v>99</v>
      </c>
      <c r="D30" s="1">
        <f>RADIANS(30)</f>
        <v>0.52359877559829882</v>
      </c>
      <c r="E30" s="2" t="s">
        <v>104</v>
      </c>
      <c r="F30" s="1"/>
    </row>
    <row r="31" spans="1:32" x14ac:dyDescent="0.4">
      <c r="A31" s="18"/>
      <c r="B31" s="18"/>
      <c r="C31" s="1" t="s">
        <v>106</v>
      </c>
      <c r="D31" s="1">
        <f>D26*SIN(D30)+D27</f>
        <v>550</v>
      </c>
      <c r="E31" s="2" t="s">
        <v>94</v>
      </c>
      <c r="F31" s="1"/>
      <c r="H31" s="3"/>
    </row>
    <row r="32" spans="1:32" x14ac:dyDescent="0.4">
      <c r="A32" s="18"/>
      <c r="B32" s="18"/>
      <c r="C32" s="1" t="s">
        <v>105</v>
      </c>
      <c r="D32" s="1">
        <v>0.1</v>
      </c>
      <c r="E32" s="2" t="s">
        <v>92</v>
      </c>
      <c r="F32" s="1"/>
      <c r="H32" s="3"/>
    </row>
    <row r="33" spans="1:6" x14ac:dyDescent="0.4">
      <c r="A33" s="18"/>
      <c r="B33" s="18"/>
      <c r="C33" s="1" t="s">
        <v>107</v>
      </c>
      <c r="D33" s="1">
        <f>D31*D32</f>
        <v>55</v>
      </c>
      <c r="E33" s="2" t="s">
        <v>94</v>
      </c>
      <c r="F33" s="1"/>
    </row>
    <row r="34" spans="1:6" x14ac:dyDescent="0.4">
      <c r="A34" s="18"/>
      <c r="B34" s="16" t="s">
        <v>19</v>
      </c>
      <c r="C34" s="1" t="s">
        <v>96</v>
      </c>
      <c r="D34" s="1">
        <v>0</v>
      </c>
      <c r="E34" s="2" t="s">
        <v>44</v>
      </c>
      <c r="F34" s="1" t="s">
        <v>59</v>
      </c>
    </row>
    <row r="35" spans="1:6" x14ac:dyDescent="0.4">
      <c r="A35" s="18"/>
      <c r="B35" s="18"/>
      <c r="C35" s="1" t="s">
        <v>6</v>
      </c>
      <c r="D35" s="1">
        <f ca="1">SUMPRODUCT($W$23:$W$28,$P$23:$P$28)+$D$24*$D$34</f>
        <v>13.518983819534586</v>
      </c>
      <c r="E35" s="2" t="s">
        <v>7</v>
      </c>
      <c r="F35" s="1"/>
    </row>
    <row r="36" spans="1:6" x14ac:dyDescent="0.4">
      <c r="A36" s="18"/>
      <c r="B36" s="18"/>
      <c r="C36" s="1" t="s">
        <v>1</v>
      </c>
      <c r="D36" s="1">
        <v>0</v>
      </c>
      <c r="E36" s="2" t="s">
        <v>2</v>
      </c>
      <c r="F36" s="1"/>
    </row>
    <row r="37" spans="1:6" x14ac:dyDescent="0.4">
      <c r="A37" s="18"/>
      <c r="B37" s="18"/>
      <c r="C37" s="1" t="s">
        <v>61</v>
      </c>
      <c r="D37" s="1">
        <v>0</v>
      </c>
      <c r="E37" s="2" t="s">
        <v>2</v>
      </c>
      <c r="F37" s="1"/>
    </row>
    <row r="38" spans="1:6" x14ac:dyDescent="0.4">
      <c r="A38" s="17"/>
      <c r="B38" s="17"/>
      <c r="C38" s="1" t="s">
        <v>62</v>
      </c>
      <c r="D38" s="1">
        <v>0.5</v>
      </c>
      <c r="E38" s="2" t="s">
        <v>92</v>
      </c>
      <c r="F38" s="1"/>
    </row>
    <row r="39" spans="1:6" x14ac:dyDescent="0.4">
      <c r="A39" s="23" t="s">
        <v>17</v>
      </c>
      <c r="B39" s="26" t="s">
        <v>55</v>
      </c>
      <c r="C39" s="1" t="s">
        <v>53</v>
      </c>
      <c r="D39" s="1">
        <f ca="1">SUM($AA$23:$AA$28)</f>
        <v>-7.3132611078108312E-12</v>
      </c>
      <c r="E39" s="2" t="s">
        <v>2</v>
      </c>
      <c r="F39" s="1"/>
    </row>
    <row r="40" spans="1:6" x14ac:dyDescent="0.4">
      <c r="A40" s="25"/>
      <c r="B40" s="25"/>
      <c r="C40" s="1" t="s">
        <v>54</v>
      </c>
      <c r="D40" s="1">
        <f ca="1">$D$24*$D$34*($D$42-$D$25)</f>
        <v>0</v>
      </c>
      <c r="E40" s="2" t="s">
        <v>2</v>
      </c>
      <c r="F40" s="1"/>
    </row>
    <row r="41" spans="1:6" x14ac:dyDescent="0.4">
      <c r="A41" s="25"/>
      <c r="B41" s="24"/>
      <c r="C41" s="1" t="s">
        <v>56</v>
      </c>
      <c r="D41" s="1">
        <f ca="1">SUM($D$39:$D$40)</f>
        <v>-7.3132611078108312E-12</v>
      </c>
      <c r="E41" s="2" t="s">
        <v>2</v>
      </c>
      <c r="F41" s="1"/>
    </row>
    <row r="42" spans="1:6" x14ac:dyDescent="0.4">
      <c r="A42" s="25"/>
      <c r="B42" s="23" t="s">
        <v>20</v>
      </c>
      <c r="C42" s="1" t="s">
        <v>8</v>
      </c>
      <c r="D42" s="5">
        <f ca="1">$D$42+($D$36-$D$41-D47)/$D$35</f>
        <v>9.1798281741288221</v>
      </c>
      <c r="E42" s="2" t="s">
        <v>9</v>
      </c>
      <c r="F42" s="1"/>
    </row>
    <row r="43" spans="1:6" x14ac:dyDescent="0.4">
      <c r="A43" s="24"/>
      <c r="B43" s="24"/>
      <c r="C43" s="1" t="s">
        <v>42</v>
      </c>
      <c r="D43" s="1">
        <f ca="1">SUMPRODUCT($R$23:$R$28,$P$23:$P$28,$Y$23:$Y$28)/SUMPRODUCT($R$23:$R$28,$P$23:$P$28)</f>
        <v>9.17982817412868</v>
      </c>
      <c r="E43" s="2" t="s">
        <v>9</v>
      </c>
      <c r="F43" s="1"/>
    </row>
    <row r="44" spans="1:6" x14ac:dyDescent="0.4">
      <c r="A44" s="19" t="s">
        <v>85</v>
      </c>
      <c r="B44" s="1" t="s">
        <v>86</v>
      </c>
      <c r="C44" s="1"/>
      <c r="D44" s="1">
        <v>2.7719999999999998</v>
      </c>
      <c r="E44" s="2" t="s">
        <v>7</v>
      </c>
      <c r="F44" s="1"/>
    </row>
    <row r="45" spans="1:6" x14ac:dyDescent="0.4">
      <c r="A45" s="20"/>
      <c r="B45" s="1" t="s">
        <v>87</v>
      </c>
      <c r="C45" s="1"/>
      <c r="D45" s="1">
        <v>12600</v>
      </c>
      <c r="E45" s="2" t="s">
        <v>88</v>
      </c>
      <c r="F45" s="1"/>
    </row>
    <row r="46" spans="1:6" x14ac:dyDescent="0.4">
      <c r="A46" s="20"/>
      <c r="B46" s="1" t="s">
        <v>89</v>
      </c>
      <c r="C46" s="1"/>
      <c r="D46" s="1">
        <f ca="1">D42+D37*(1-D38)/D44</f>
        <v>9.1798281741288221</v>
      </c>
      <c r="E46" s="1" t="s">
        <v>9</v>
      </c>
      <c r="F46" s="1"/>
    </row>
    <row r="47" spans="1:6" x14ac:dyDescent="0.4">
      <c r="A47" s="21"/>
      <c r="B47" s="1" t="s">
        <v>90</v>
      </c>
      <c r="C47" s="1"/>
      <c r="D47" s="1">
        <f ca="1">D44*(D42-D46)</f>
        <v>0</v>
      </c>
      <c r="E47" s="2" t="s">
        <v>91</v>
      </c>
      <c r="F47" s="1"/>
    </row>
  </sheetData>
  <mergeCells count="6">
    <mergeCell ref="A21:C21"/>
    <mergeCell ref="B42:B43"/>
    <mergeCell ref="B22:B24"/>
    <mergeCell ref="A22:A24"/>
    <mergeCell ref="A39:A43"/>
    <mergeCell ref="B39:B4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熱伝達率</vt:lpstr>
      <vt:lpstr>正解値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Makoto Satoh</cp:lastModifiedBy>
  <dcterms:created xsi:type="dcterms:W3CDTF">2020-08-24T06:41:34Z</dcterms:created>
  <dcterms:modified xsi:type="dcterms:W3CDTF">2025-01-27T10:40:48Z</dcterms:modified>
</cp:coreProperties>
</file>